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eb381ea344dbb4/Documents/GU - GRA/Career/Work Examples/"/>
    </mc:Choice>
  </mc:AlternateContent>
  <xr:revisionPtr revIDLastSave="15" documentId="13_ncr:1_{3DFDB08E-C49C-4B8C-9683-344C8F243615}" xr6:coauthVersionLast="47" xr6:coauthVersionMax="47" xr10:uidLastSave="{A80E6E17-024B-4D1E-AA9A-F31E40A7950F}"/>
  <bookViews>
    <workbookView xWindow="-120" yWindow="-120" windowWidth="38640" windowHeight="21120" xr2:uid="{7BCFB0E4-A13A-48B0-8F56-AC45188D8F96}"/>
  </bookViews>
  <sheets>
    <sheet name="New Rent Projections" sheetId="4" r:id="rId1"/>
    <sheet name="Proforma" sheetId="1" state="hidden" r:id="rId2"/>
    <sheet name="Amortization" sheetId="2" r:id="rId3"/>
    <sheet name="Exhibit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3" l="1"/>
  <c r="U24" i="3"/>
  <c r="U23" i="3"/>
  <c r="U22" i="3"/>
  <c r="U21" i="3"/>
  <c r="S21" i="3"/>
  <c r="T24" i="3"/>
  <c r="T25" i="3" s="1"/>
  <c r="T23" i="3"/>
  <c r="T22" i="3"/>
  <c r="T21" i="3"/>
  <c r="P21" i="3"/>
  <c r="Q21" i="3" s="1"/>
  <c r="Q24" i="3" s="1"/>
  <c r="C22" i="3"/>
  <c r="P5" i="4"/>
  <c r="F38" i="4"/>
  <c r="E134" i="4"/>
  <c r="F134" i="4" s="1"/>
  <c r="G134" i="4" s="1"/>
  <c r="H134" i="4" s="1"/>
  <c r="D134" i="4"/>
  <c r="B136" i="4"/>
  <c r="B137" i="4" s="1"/>
  <c r="B138" i="4" s="1"/>
  <c r="B139" i="4" s="1"/>
  <c r="B140" i="4" s="1"/>
  <c r="B141" i="4" s="1"/>
  <c r="L20" i="4"/>
  <c r="D122" i="4"/>
  <c r="E122" i="4" s="1"/>
  <c r="F122" i="4" s="1"/>
  <c r="G122" i="4" s="1"/>
  <c r="H122" i="4" s="1"/>
  <c r="B124" i="4"/>
  <c r="B125" i="4" s="1"/>
  <c r="B126" i="4" s="1"/>
  <c r="B127" i="4" s="1"/>
  <c r="B128" i="4" s="1"/>
  <c r="B129" i="4" s="1"/>
  <c r="B130" i="4" s="1"/>
  <c r="B131" i="4" s="1"/>
  <c r="K19" i="4"/>
  <c r="K8" i="4"/>
  <c r="K12" i="4" s="1"/>
  <c r="K22" i="4" s="1"/>
  <c r="F25" i="4" s="1"/>
  <c r="F30" i="4"/>
  <c r="B108" i="4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92" i="4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L41" i="4"/>
  <c r="R62" i="4"/>
  <c r="R63" i="4" s="1"/>
  <c r="R60" i="4"/>
  <c r="R58" i="4"/>
  <c r="Q62" i="4"/>
  <c r="Q63" i="4" s="1"/>
  <c r="Q60" i="4"/>
  <c r="Q58" i="4"/>
  <c r="P60" i="4"/>
  <c r="O62" i="4"/>
  <c r="O63" i="4" s="1"/>
  <c r="O60" i="4"/>
  <c r="O58" i="4"/>
  <c r="N62" i="4"/>
  <c r="N63" i="4" s="1"/>
  <c r="N60" i="4"/>
  <c r="N58" i="4"/>
  <c r="M62" i="4"/>
  <c r="M63" i="4" s="1"/>
  <c r="M60" i="4"/>
  <c r="M58" i="4"/>
  <c r="L62" i="4"/>
  <c r="L63" i="4" s="1"/>
  <c r="L60" i="4"/>
  <c r="L58" i="4"/>
  <c r="S26" i="4"/>
  <c r="L33" i="4"/>
  <c r="S35" i="4"/>
  <c r="S24" i="3"/>
  <c r="S25" i="3" s="1"/>
  <c r="S23" i="3"/>
  <c r="S22" i="3"/>
  <c r="P23" i="3"/>
  <c r="P22" i="3"/>
  <c r="Q23" i="3"/>
  <c r="Q22" i="3"/>
  <c r="M24" i="3"/>
  <c r="N24" i="3"/>
  <c r="N23" i="3"/>
  <c r="N22" i="3"/>
  <c r="N21" i="3"/>
  <c r="L24" i="3"/>
  <c r="O17" i="3"/>
  <c r="N17" i="3"/>
  <c r="L27" i="3"/>
  <c r="L26" i="3"/>
  <c r="L28" i="3" s="1"/>
  <c r="L31" i="3" s="1"/>
  <c r="J26" i="3"/>
  <c r="L17" i="3"/>
  <c r="F71" i="4"/>
  <c r="F70" i="4"/>
  <c r="F69" i="4"/>
  <c r="E48" i="4"/>
  <c r="E50" i="4" s="1"/>
  <c r="L43" i="4"/>
  <c r="E45" i="4"/>
  <c r="S42" i="4"/>
  <c r="R42" i="4"/>
  <c r="Q42" i="4"/>
  <c r="P42" i="4"/>
  <c r="P62" i="4" s="1"/>
  <c r="P63" i="4" s="1"/>
  <c r="O42" i="4"/>
  <c r="N42" i="4"/>
  <c r="M42" i="4"/>
  <c r="L42" i="4"/>
  <c r="S33" i="4"/>
  <c r="R33" i="4"/>
  <c r="Q33" i="4"/>
  <c r="O33" i="4"/>
  <c r="N33" i="4"/>
  <c r="M33" i="4"/>
  <c r="S25" i="4"/>
  <c r="S21" i="4"/>
  <c r="R21" i="4"/>
  <c r="Q21" i="4"/>
  <c r="P21" i="4"/>
  <c r="O21" i="4"/>
  <c r="N21" i="4"/>
  <c r="M21" i="4"/>
  <c r="L21" i="4"/>
  <c r="S20" i="4"/>
  <c r="R20" i="4"/>
  <c r="O20" i="4"/>
  <c r="N20" i="4"/>
  <c r="M20" i="4"/>
  <c r="S18" i="4"/>
  <c r="S43" i="4" s="1"/>
  <c r="R18" i="4"/>
  <c r="R43" i="4" s="1"/>
  <c r="Q18" i="4"/>
  <c r="Q43" i="4" s="1"/>
  <c r="P18" i="4"/>
  <c r="P43" i="4" s="1"/>
  <c r="O18" i="4"/>
  <c r="O43" i="4" s="1"/>
  <c r="N18" i="4"/>
  <c r="N43" i="4" s="1"/>
  <c r="M18" i="4"/>
  <c r="M43" i="4" s="1"/>
  <c r="M16" i="4"/>
  <c r="N16" i="4" s="1"/>
  <c r="O16" i="4" s="1"/>
  <c r="P16" i="4" s="1"/>
  <c r="Q16" i="4" s="1"/>
  <c r="R16" i="4" s="1"/>
  <c r="S16" i="4" s="1"/>
  <c r="M15" i="4"/>
  <c r="M14" i="4"/>
  <c r="N14" i="4" s="1"/>
  <c r="O14" i="4" s="1"/>
  <c r="P14" i="4" s="1"/>
  <c r="Q14" i="4" s="1"/>
  <c r="E16" i="4"/>
  <c r="E13" i="4"/>
  <c r="M6" i="4"/>
  <c r="N6" i="4" s="1"/>
  <c r="O6" i="4" s="1"/>
  <c r="P6" i="4" s="1"/>
  <c r="Q6" i="4" s="1"/>
  <c r="R6" i="4" s="1"/>
  <c r="S6" i="4" s="1"/>
  <c r="E8" i="4"/>
  <c r="S2" i="4"/>
  <c r="R2" i="4"/>
  <c r="Q2" i="4"/>
  <c r="P2" i="4"/>
  <c r="O2" i="4"/>
  <c r="N2" i="4"/>
  <c r="M2" i="4"/>
  <c r="L2" i="4"/>
  <c r="S1" i="4"/>
  <c r="R1" i="4"/>
  <c r="Q1" i="4"/>
  <c r="P1" i="4"/>
  <c r="O1" i="4"/>
  <c r="N1" i="4"/>
  <c r="M1" i="4"/>
  <c r="L1" i="4"/>
  <c r="K1" i="4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E46" i="1"/>
  <c r="E48" i="1" s="1"/>
  <c r="E43" i="1"/>
  <c r="F38" i="1"/>
  <c r="E45" i="1" s="1"/>
  <c r="D20" i="3"/>
  <c r="E20" i="3" s="1"/>
  <c r="C19" i="3"/>
  <c r="E19" i="3"/>
  <c r="S1" i="1"/>
  <c r="R1" i="1"/>
  <c r="Q1" i="1"/>
  <c r="O1" i="1"/>
  <c r="N1" i="1"/>
  <c r="M1" i="1"/>
  <c r="L1" i="1"/>
  <c r="K1" i="1"/>
  <c r="P1" i="1"/>
  <c r="S34" i="1"/>
  <c r="S25" i="1"/>
  <c r="Q25" i="3" l="1"/>
  <c r="L32" i="3" s="1"/>
  <c r="F72" i="4"/>
  <c r="E72" i="4" s="1"/>
  <c r="R14" i="4"/>
  <c r="N15" i="4"/>
  <c r="O15" i="4" s="1"/>
  <c r="P15" i="4" s="1"/>
  <c r="Q15" i="4" s="1"/>
  <c r="R15" i="4" s="1"/>
  <c r="S15" i="4" s="1"/>
  <c r="S2" i="1"/>
  <c r="R2" i="1"/>
  <c r="Q2" i="1"/>
  <c r="P2" i="1"/>
  <c r="O2" i="1"/>
  <c r="N2" i="1"/>
  <c r="M2" i="1"/>
  <c r="L2" i="1"/>
  <c r="R71" i="1"/>
  <c r="Q71" i="1"/>
  <c r="R68" i="1"/>
  <c r="Q68" i="1"/>
  <c r="O5" i="4" l="1"/>
  <c r="N5" i="4"/>
  <c r="M5" i="4"/>
  <c r="F39" i="4"/>
  <c r="L5" i="4"/>
  <c r="S14" i="4"/>
  <c r="L39" i="1"/>
  <c r="L59" i="1" s="1"/>
  <c r="L60" i="1" s="1"/>
  <c r="L40" i="1"/>
  <c r="S32" i="1"/>
  <c r="R32" i="1"/>
  <c r="Q32" i="1"/>
  <c r="O32" i="1"/>
  <c r="N32" i="1"/>
  <c r="M32" i="1"/>
  <c r="L32" i="1"/>
  <c r="S39" i="1"/>
  <c r="R39" i="1"/>
  <c r="R59" i="1" s="1"/>
  <c r="R60" i="1" s="1"/>
  <c r="Q39" i="1"/>
  <c r="P39" i="1"/>
  <c r="O39" i="1"/>
  <c r="O59" i="1" s="1"/>
  <c r="O60" i="1" s="1"/>
  <c r="N39" i="1"/>
  <c r="N59" i="1" s="1"/>
  <c r="N60" i="1" s="1"/>
  <c r="M39" i="1"/>
  <c r="M59" i="1" s="1"/>
  <c r="M60" i="1" s="1"/>
  <c r="S18" i="1"/>
  <c r="S40" i="1" s="1"/>
  <c r="R18" i="1"/>
  <c r="R40" i="1" s="1"/>
  <c r="Q18" i="1"/>
  <c r="Q40" i="1" s="1"/>
  <c r="P18" i="1"/>
  <c r="P40" i="1" s="1"/>
  <c r="O18" i="1"/>
  <c r="O40" i="1" s="1"/>
  <c r="N18" i="1"/>
  <c r="N40" i="1" s="1"/>
  <c r="M18" i="1"/>
  <c r="M40" i="1" s="1"/>
  <c r="M17" i="1"/>
  <c r="N17" i="1" s="1"/>
  <c r="O17" i="1" s="1"/>
  <c r="P17" i="1" s="1"/>
  <c r="Q17" i="1" s="1"/>
  <c r="R17" i="1" s="1"/>
  <c r="S17" i="1" s="1"/>
  <c r="M16" i="1"/>
  <c r="N16" i="1" s="1"/>
  <c r="O16" i="1" s="1"/>
  <c r="P16" i="1" s="1"/>
  <c r="Q16" i="1" s="1"/>
  <c r="R16" i="1" s="1"/>
  <c r="S16" i="1" s="1"/>
  <c r="M15" i="1"/>
  <c r="N15" i="1" s="1"/>
  <c r="O15" i="1" s="1"/>
  <c r="P15" i="1" s="1"/>
  <c r="Q15" i="1" s="1"/>
  <c r="R15" i="1" s="1"/>
  <c r="S15" i="1" s="1"/>
  <c r="M14" i="1"/>
  <c r="L19" i="1"/>
  <c r="D6" i="2"/>
  <c r="E6" i="2" s="1"/>
  <c r="D5" i="2"/>
  <c r="D4" i="2"/>
  <c r="M6" i="1"/>
  <c r="N6" i="1" s="1"/>
  <c r="O6" i="1" s="1"/>
  <c r="P6" i="1" s="1"/>
  <c r="Q6" i="1" s="1"/>
  <c r="R6" i="1" s="1"/>
  <c r="S5" i="1"/>
  <c r="R5" i="1"/>
  <c r="Q5" i="1"/>
  <c r="P5" i="1"/>
  <c r="O5" i="1"/>
  <c r="N5" i="1"/>
  <c r="M5" i="1"/>
  <c r="L5" i="1"/>
  <c r="L8" i="1" s="1"/>
  <c r="L10" i="1" s="1"/>
  <c r="L12" i="1" s="1"/>
  <c r="L22" i="1" s="1"/>
  <c r="D26" i="1"/>
  <c r="K25" i="1" s="1"/>
  <c r="D20" i="1"/>
  <c r="E20" i="1" s="1"/>
  <c r="F29" i="1"/>
  <c r="D19" i="1" s="1"/>
  <c r="E15" i="1"/>
  <c r="E13" i="1"/>
  <c r="E8" i="1"/>
  <c r="O8" i="4" l="1"/>
  <c r="O10" i="4" s="1"/>
  <c r="O12" i="4" s="1"/>
  <c r="O17" i="4"/>
  <c r="P8" i="4"/>
  <c r="P10" i="4" s="1"/>
  <c r="P12" i="4" s="1"/>
  <c r="P17" i="4"/>
  <c r="N8" i="4"/>
  <c r="N10" i="4" s="1"/>
  <c r="N12" i="4" s="1"/>
  <c r="N17" i="4"/>
  <c r="M8" i="4"/>
  <c r="M10" i="4" s="1"/>
  <c r="M12" i="4" s="1"/>
  <c r="M17" i="4"/>
  <c r="L8" i="4"/>
  <c r="L10" i="4" s="1"/>
  <c r="L12" i="4" s="1"/>
  <c r="L17" i="4"/>
  <c r="S5" i="4"/>
  <c r="R5" i="4"/>
  <c r="Q5" i="4"/>
  <c r="E47" i="4"/>
  <c r="P20" i="4" s="1"/>
  <c r="K50" i="1"/>
  <c r="K68" i="1" s="1"/>
  <c r="Q55" i="1"/>
  <c r="M55" i="1"/>
  <c r="R55" i="1"/>
  <c r="N55" i="1"/>
  <c r="K51" i="1"/>
  <c r="K71" i="1" s="1"/>
  <c r="L55" i="1"/>
  <c r="P55" i="1"/>
  <c r="P59" i="1"/>
  <c r="P60" i="1" s="1"/>
  <c r="Q59" i="1"/>
  <c r="Q60" i="1" s="1"/>
  <c r="O55" i="1"/>
  <c r="M19" i="1"/>
  <c r="K32" i="1"/>
  <c r="K34" i="1" s="1"/>
  <c r="D3" i="2"/>
  <c r="F99" i="2" s="1"/>
  <c r="M8" i="1"/>
  <c r="M10" i="1" s="1"/>
  <c r="M12" i="1" s="1"/>
  <c r="Q8" i="1"/>
  <c r="Q10" i="1" s="1"/>
  <c r="Q12" i="1" s="1"/>
  <c r="N14" i="1"/>
  <c r="O14" i="1" s="1"/>
  <c r="P14" i="1" s="1"/>
  <c r="Q14" i="1" s="1"/>
  <c r="R14" i="1" s="1"/>
  <c r="S14" i="1" s="1"/>
  <c r="S19" i="1" s="1"/>
  <c r="N8" i="1"/>
  <c r="N10" i="1" s="1"/>
  <c r="N12" i="1" s="1"/>
  <c r="S6" i="1"/>
  <c r="S8" i="1" s="1"/>
  <c r="S10" i="1" s="1"/>
  <c r="S12" i="1" s="1"/>
  <c r="S22" i="1" s="1"/>
  <c r="R8" i="1"/>
  <c r="R10" i="1" s="1"/>
  <c r="R12" i="1" s="1"/>
  <c r="O8" i="1"/>
  <c r="O10" i="1" s="1"/>
  <c r="O12" i="1" s="1"/>
  <c r="P8" i="1"/>
  <c r="P10" i="1" s="1"/>
  <c r="P12" i="1" s="1"/>
  <c r="D21" i="1"/>
  <c r="F19" i="1" s="1"/>
  <c r="E19" i="1"/>
  <c r="E21" i="1" s="1"/>
  <c r="S8" i="4" l="1"/>
  <c r="S10" i="4" s="1"/>
  <c r="S12" i="4" s="1"/>
  <c r="S17" i="4"/>
  <c r="R8" i="4"/>
  <c r="R10" i="4" s="1"/>
  <c r="R12" i="4" s="1"/>
  <c r="R17" i="4"/>
  <c r="Q8" i="4"/>
  <c r="Q10" i="4" s="1"/>
  <c r="Q12" i="4" s="1"/>
  <c r="Q17" i="4"/>
  <c r="L19" i="4"/>
  <c r="Q20" i="4"/>
  <c r="Q22" i="1"/>
  <c r="M22" i="1"/>
  <c r="M41" i="1"/>
  <c r="M43" i="1" s="1"/>
  <c r="L41" i="1"/>
  <c r="L43" i="1" s="1"/>
  <c r="L46" i="1" s="1"/>
  <c r="L68" i="1" s="1"/>
  <c r="F143" i="2"/>
  <c r="D19" i="2"/>
  <c r="D97" i="2"/>
  <c r="E226" i="2"/>
  <c r="D201" i="2"/>
  <c r="F360" i="2"/>
  <c r="E294" i="2"/>
  <c r="D333" i="2"/>
  <c r="F24" i="2"/>
  <c r="E271" i="2"/>
  <c r="F338" i="2"/>
  <c r="D351" i="2"/>
  <c r="D265" i="2"/>
  <c r="F346" i="2"/>
  <c r="F14" i="2"/>
  <c r="F58" i="2"/>
  <c r="F66" i="2"/>
  <c r="D344" i="2"/>
  <c r="E145" i="2"/>
  <c r="F285" i="2"/>
  <c r="E352" i="2"/>
  <c r="E37" i="2"/>
  <c r="F136" i="2"/>
  <c r="F38" i="2"/>
  <c r="E189" i="2"/>
  <c r="E346" i="2"/>
  <c r="E301" i="2"/>
  <c r="D78" i="2"/>
  <c r="E55" i="2"/>
  <c r="D252" i="2"/>
  <c r="D291" i="2"/>
  <c r="D232" i="2"/>
  <c r="E198" i="2"/>
  <c r="D339" i="2"/>
  <c r="F40" i="2"/>
  <c r="D165" i="2"/>
  <c r="F305" i="2"/>
  <c r="F79" i="2"/>
  <c r="E29" i="2"/>
  <c r="F315" i="2"/>
  <c r="E63" i="2"/>
  <c r="F62" i="2"/>
  <c r="D359" i="2"/>
  <c r="F270" i="2"/>
  <c r="F27" i="2"/>
  <c r="D94" i="2"/>
  <c r="D213" i="2"/>
  <c r="E121" i="2"/>
  <c r="F124" i="2"/>
  <c r="F152" i="2"/>
  <c r="D158" i="2"/>
  <c r="E335" i="2"/>
  <c r="E348" i="2"/>
  <c r="F184" i="2"/>
  <c r="D46" i="2"/>
  <c r="F121" i="2"/>
  <c r="F203" i="2"/>
  <c r="F146" i="2"/>
  <c r="F126" i="2"/>
  <c r="E169" i="2"/>
  <c r="D127" i="2"/>
  <c r="F350" i="2"/>
  <c r="E170" i="2"/>
  <c r="E357" i="2"/>
  <c r="D194" i="2"/>
  <c r="F212" i="2"/>
  <c r="D340" i="2"/>
  <c r="D124" i="2"/>
  <c r="D193" i="2"/>
  <c r="D353" i="2"/>
  <c r="D162" i="2"/>
  <c r="F176" i="2"/>
  <c r="D42" i="2"/>
  <c r="F117" i="2"/>
  <c r="E197" i="2"/>
  <c r="D154" i="2"/>
  <c r="D129" i="2"/>
  <c r="D185" i="2"/>
  <c r="E132" i="2"/>
  <c r="E363" i="2"/>
  <c r="D174" i="2"/>
  <c r="D360" i="2"/>
  <c r="E199" i="2"/>
  <c r="E283" i="2"/>
  <c r="F342" i="2"/>
  <c r="E104" i="2"/>
  <c r="E61" i="2"/>
  <c r="D341" i="2"/>
  <c r="F127" i="2"/>
  <c r="D82" i="2"/>
  <c r="F189" i="2"/>
  <c r="D206" i="2"/>
  <c r="F173" i="2"/>
  <c r="F162" i="2"/>
  <c r="D338" i="2"/>
  <c r="F123" i="2"/>
  <c r="D239" i="2"/>
  <c r="E97" i="2"/>
  <c r="D15" i="2"/>
  <c r="D368" i="2"/>
  <c r="E369" i="2"/>
  <c r="F297" i="2"/>
  <c r="E110" i="2"/>
  <c r="D146" i="2"/>
  <c r="E12" i="2"/>
  <c r="D143" i="2"/>
  <c r="F222" i="2"/>
  <c r="E115" i="2"/>
  <c r="E59" i="2"/>
  <c r="E33" i="2"/>
  <c r="E148" i="2"/>
  <c r="E288" i="2"/>
  <c r="D357" i="2"/>
  <c r="E58" i="2"/>
  <c r="D52" i="2"/>
  <c r="D38" i="2"/>
  <c r="F161" i="2"/>
  <c r="D181" i="2"/>
  <c r="D319" i="2"/>
  <c r="D126" i="2"/>
  <c r="F70" i="2"/>
  <c r="D60" i="2"/>
  <c r="F355" i="2"/>
  <c r="E186" i="2"/>
  <c r="E336" i="2"/>
  <c r="D43" i="2"/>
  <c r="E330" i="2"/>
  <c r="E45" i="2"/>
  <c r="E281" i="2"/>
  <c r="E153" i="2"/>
  <c r="D73" i="2"/>
  <c r="D267" i="2"/>
  <c r="E247" i="2"/>
  <c r="E125" i="2"/>
  <c r="E126" i="2"/>
  <c r="E124" i="2"/>
  <c r="D290" i="2"/>
  <c r="D282" i="2"/>
  <c r="E207" i="2"/>
  <c r="D131" i="2"/>
  <c r="F154" i="2"/>
  <c r="E25" i="2"/>
  <c r="D90" i="2"/>
  <c r="F128" i="2"/>
  <c r="F163" i="2"/>
  <c r="E134" i="2"/>
  <c r="E190" i="2"/>
  <c r="F140" i="2"/>
  <c r="D75" i="2"/>
  <c r="E291" i="2"/>
  <c r="F368" i="2"/>
  <c r="F204" i="2"/>
  <c r="E329" i="2"/>
  <c r="E347" i="2"/>
  <c r="F156" i="2"/>
  <c r="F44" i="2"/>
  <c r="E353" i="2"/>
  <c r="E93" i="2"/>
  <c r="D199" i="2"/>
  <c r="E47" i="2"/>
  <c r="F53" i="2"/>
  <c r="D214" i="2"/>
  <c r="D157" i="2"/>
  <c r="E112" i="2"/>
  <c r="F26" i="2"/>
  <c r="E19" i="2"/>
  <c r="E39" i="2"/>
  <c r="D24" i="2"/>
  <c r="F164" i="2"/>
  <c r="E96" i="2"/>
  <c r="D44" i="2"/>
  <c r="E91" i="2"/>
  <c r="E142" i="2"/>
  <c r="D258" i="2"/>
  <c r="E223" i="2"/>
  <c r="E51" i="2"/>
  <c r="F57" i="2"/>
  <c r="E224" i="2"/>
  <c r="D345" i="2"/>
  <c r="D297" i="2"/>
  <c r="D364" i="2"/>
  <c r="D316" i="2"/>
  <c r="D268" i="2"/>
  <c r="D220" i="2"/>
  <c r="D172" i="2"/>
  <c r="D312" i="2"/>
  <c r="E257" i="2"/>
  <c r="D202" i="2"/>
  <c r="F153" i="2"/>
  <c r="D329" i="2"/>
  <c r="E274" i="2"/>
  <c r="E220" i="2"/>
  <c r="F170" i="2"/>
  <c r="D337" i="2"/>
  <c r="E282" i="2"/>
  <c r="D225" i="2"/>
  <c r="E175" i="2"/>
  <c r="E331" i="2"/>
  <c r="E279" i="2"/>
  <c r="D222" i="2"/>
  <c r="D167" i="2"/>
  <c r="D330" i="2"/>
  <c r="D233" i="2"/>
  <c r="E166" i="2"/>
  <c r="D295" i="2"/>
  <c r="F228" i="2"/>
  <c r="F137" i="2"/>
  <c r="F89" i="2"/>
  <c r="E307" i="2"/>
  <c r="D216" i="2"/>
  <c r="F142" i="2"/>
  <c r="E270" i="2"/>
  <c r="F155" i="2"/>
  <c r="F103" i="2"/>
  <c r="D53" i="2"/>
  <c r="E362" i="2"/>
  <c r="F242" i="2"/>
  <c r="E155" i="2"/>
  <c r="D98" i="2"/>
  <c r="F50" i="2"/>
  <c r="E315" i="2"/>
  <c r="D179" i="2"/>
  <c r="D108" i="2"/>
  <c r="E57" i="2"/>
  <c r="D367" i="2"/>
  <c r="E252" i="2"/>
  <c r="E139" i="2"/>
  <c r="E84" i="2"/>
  <c r="F35" i="2"/>
  <c r="F37" i="2"/>
  <c r="E109" i="2"/>
  <c r="D219" i="2"/>
  <c r="D88" i="2"/>
  <c r="F94" i="2"/>
  <c r="F75" i="2"/>
  <c r="D272" i="2"/>
  <c r="F17" i="2"/>
  <c r="D140" i="2"/>
  <c r="E42" i="2"/>
  <c r="D39" i="2"/>
  <c r="F54" i="2"/>
  <c r="F29" i="2"/>
  <c r="F207" i="2"/>
  <c r="D110" i="2"/>
  <c r="E128" i="2"/>
  <c r="F353" i="2"/>
  <c r="E177" i="2"/>
  <c r="F290" i="2"/>
  <c r="E234" i="2"/>
  <c r="D68" i="2"/>
  <c r="E62" i="2"/>
  <c r="D250" i="2"/>
  <c r="E340" i="2"/>
  <c r="E292" i="2"/>
  <c r="E359" i="2"/>
  <c r="E311" i="2"/>
  <c r="E263" i="2"/>
  <c r="E215" i="2"/>
  <c r="E167" i="2"/>
  <c r="E309" i="2"/>
  <c r="F254" i="2"/>
  <c r="F199" i="2"/>
  <c r="D151" i="2"/>
  <c r="E326" i="2"/>
  <c r="F271" i="2"/>
  <c r="F217" i="2"/>
  <c r="E165" i="2"/>
  <c r="E334" i="2"/>
  <c r="F279" i="2"/>
  <c r="E222" i="2"/>
  <c r="D170" i="2"/>
  <c r="F328" i="2"/>
  <c r="F276" i="2"/>
  <c r="F219" i="2"/>
  <c r="E162" i="2"/>
  <c r="D326" i="2"/>
  <c r="D229" i="2"/>
  <c r="D159" i="2"/>
  <c r="E290" i="2"/>
  <c r="D224" i="2"/>
  <c r="D135" i="2"/>
  <c r="D87" i="2"/>
  <c r="F298" i="2"/>
  <c r="D212" i="2"/>
  <c r="E368" i="2"/>
  <c r="E253" i="2"/>
  <c r="E151" i="2"/>
  <c r="E98" i="2"/>
  <c r="E48" i="2"/>
  <c r="F356" i="2"/>
  <c r="F237" i="2"/>
  <c r="D147" i="2"/>
  <c r="F95" i="2"/>
  <c r="D48" i="2"/>
  <c r="D298" i="2"/>
  <c r="F168" i="2"/>
  <c r="F105" i="2"/>
  <c r="F52" i="2"/>
  <c r="E361" i="2"/>
  <c r="F236" i="2"/>
  <c r="D134" i="2"/>
  <c r="D79" i="2"/>
  <c r="D33" i="2"/>
  <c r="F41" i="2"/>
  <c r="D117" i="2"/>
  <c r="F244" i="2"/>
  <c r="E15" i="2"/>
  <c r="E278" i="2"/>
  <c r="E56" i="2"/>
  <c r="E133" i="2"/>
  <c r="D287" i="2"/>
  <c r="F81" i="2"/>
  <c r="E213" i="2"/>
  <c r="F78" i="2"/>
  <c r="F175" i="2"/>
  <c r="F340" i="2"/>
  <c r="E161" i="2"/>
  <c r="E318" i="2"/>
  <c r="D240" i="2"/>
  <c r="D13" i="2"/>
  <c r="F100" i="2"/>
  <c r="E17" i="2"/>
  <c r="D37" i="2"/>
  <c r="E176" i="2"/>
  <c r="F114" i="2"/>
  <c r="E54" i="2"/>
  <c r="E76" i="2"/>
  <c r="F39" i="2"/>
  <c r="D246" i="2"/>
  <c r="F130" i="2"/>
  <c r="E20" i="2"/>
  <c r="F345" i="2"/>
  <c r="F230" i="2"/>
  <c r="F25" i="2"/>
  <c r="D310" i="2"/>
  <c r="D84" i="2"/>
  <c r="E68" i="2"/>
  <c r="F266" i="2"/>
  <c r="F335" i="2"/>
  <c r="F287" i="2"/>
  <c r="F354" i="2"/>
  <c r="F306" i="2"/>
  <c r="F258" i="2"/>
  <c r="F210" i="2"/>
  <c r="D358" i="2"/>
  <c r="D306" i="2"/>
  <c r="E249" i="2"/>
  <c r="E194" i="2"/>
  <c r="E146" i="2"/>
  <c r="D323" i="2"/>
  <c r="F265" i="2"/>
  <c r="E212" i="2"/>
  <c r="F160" i="2"/>
  <c r="F331" i="2"/>
  <c r="D271" i="2"/>
  <c r="D217" i="2"/>
  <c r="F167" i="2"/>
  <c r="E325" i="2"/>
  <c r="D262" i="2"/>
  <c r="E214" i="2"/>
  <c r="F157" i="2"/>
  <c r="E317" i="2"/>
  <c r="E225" i="2"/>
  <c r="D156" i="2"/>
  <c r="E286" i="2"/>
  <c r="E216" i="2"/>
  <c r="E130" i="2"/>
  <c r="E82" i="2"/>
  <c r="D294" i="2"/>
  <c r="E208" i="2"/>
  <c r="F362" i="2"/>
  <c r="D248" i="2"/>
  <c r="E147" i="2"/>
  <c r="D93" i="2"/>
  <c r="F43" i="2"/>
  <c r="E339" i="2"/>
  <c r="E232" i="2"/>
  <c r="E140" i="2"/>
  <c r="E90" i="2"/>
  <c r="E43" i="2"/>
  <c r="D275" i="2"/>
  <c r="E154" i="2"/>
  <c r="E100" i="2"/>
  <c r="D50" i="2"/>
  <c r="F349" i="2"/>
  <c r="D231" i="2"/>
  <c r="F131" i="2"/>
  <c r="F76" i="2"/>
  <c r="E28" i="2"/>
  <c r="D59" i="2"/>
  <c r="F120" i="2"/>
  <c r="F250" i="2"/>
  <c r="F34" i="2"/>
  <c r="F295" i="2"/>
  <c r="F63" i="2"/>
  <c r="D137" i="2"/>
  <c r="D313" i="2"/>
  <c r="E89" i="2"/>
  <c r="E302" i="2"/>
  <c r="E86" i="2"/>
  <c r="F182" i="2"/>
  <c r="D348" i="2"/>
  <c r="F365" i="2"/>
  <c r="E127" i="2"/>
  <c r="F132" i="2"/>
  <c r="D81" i="2"/>
  <c r="F112" i="2"/>
  <c r="E102" i="2"/>
  <c r="F102" i="2"/>
  <c r="D66" i="2"/>
  <c r="E138" i="2"/>
  <c r="E284" i="2"/>
  <c r="F177" i="2"/>
  <c r="F344" i="2"/>
  <c r="D145" i="2"/>
  <c r="E183" i="2"/>
  <c r="E328" i="2"/>
  <c r="E268" i="2"/>
  <c r="E323" i="2"/>
  <c r="E251" i="2"/>
  <c r="E191" i="2"/>
  <c r="F326" i="2"/>
  <c r="D236" i="2"/>
  <c r="E173" i="2"/>
  <c r="F343" i="2"/>
  <c r="E254" i="2"/>
  <c r="F191" i="2"/>
  <c r="F351" i="2"/>
  <c r="E262" i="2"/>
  <c r="E196" i="2"/>
  <c r="F348" i="2"/>
  <c r="F256" i="2"/>
  <c r="D188" i="2"/>
  <c r="E343" i="2"/>
  <c r="E217" i="2"/>
  <c r="F333" i="2"/>
  <c r="E244" i="2"/>
  <c r="D123" i="2"/>
  <c r="D346" i="2"/>
  <c r="F247" i="2"/>
  <c r="E345" i="2"/>
  <c r="F195" i="2"/>
  <c r="F111" i="2"/>
  <c r="E36" i="2"/>
  <c r="D293" i="2"/>
  <c r="D164" i="2"/>
  <c r="F82" i="2"/>
  <c r="D350" i="2"/>
  <c r="E205" i="2"/>
  <c r="F92" i="2"/>
  <c r="F28" i="2"/>
  <c r="E269" i="2"/>
  <c r="D121" i="2"/>
  <c r="D57" i="2"/>
  <c r="D31" i="2"/>
  <c r="E136" i="2"/>
  <c r="E295" i="2"/>
  <c r="E172" i="2"/>
  <c r="F45" i="2"/>
  <c r="E159" i="2"/>
  <c r="E356" i="2"/>
  <c r="D125" i="2"/>
  <c r="E49" i="2"/>
  <c r="D153" i="2"/>
  <c r="E365" i="2"/>
  <c r="E192" i="2"/>
  <c r="E324" i="2"/>
  <c r="D67" i="2"/>
  <c r="D12" i="2"/>
  <c r="D191" i="2"/>
  <c r="F231" i="2"/>
  <c r="F239" i="2"/>
  <c r="F68" i="2"/>
  <c r="E314" i="2"/>
  <c r="D197" i="2"/>
  <c r="D80" i="2"/>
  <c r="E67" i="2"/>
  <c r="D14" i="2"/>
  <c r="E40" i="2"/>
  <c r="D347" i="2"/>
  <c r="E27" i="2"/>
  <c r="D161" i="2"/>
  <c r="E171" i="2"/>
  <c r="D112" i="2"/>
  <c r="D142" i="2"/>
  <c r="F122" i="2"/>
  <c r="D109" i="2"/>
  <c r="F72" i="2"/>
  <c r="D195" i="2"/>
  <c r="D83" i="2"/>
  <c r="D203" i="2"/>
  <c r="D362" i="2"/>
  <c r="D11" i="2"/>
  <c r="D210" i="2"/>
  <c r="F323" i="2"/>
  <c r="F263" i="2"/>
  <c r="F318" i="2"/>
  <c r="F246" i="2"/>
  <c r="F186" i="2"/>
  <c r="F320" i="2"/>
  <c r="F233" i="2"/>
  <c r="D168" i="2"/>
  <c r="F337" i="2"/>
  <c r="D249" i="2"/>
  <c r="D186" i="2"/>
  <c r="D343" i="2"/>
  <c r="F259" i="2"/>
  <c r="F193" i="2"/>
  <c r="D334" i="2"/>
  <c r="F253" i="2"/>
  <c r="F185" i="2"/>
  <c r="F334" i="2"/>
  <c r="F213" i="2"/>
  <c r="F329" i="2"/>
  <c r="E236" i="2"/>
  <c r="E118" i="2"/>
  <c r="E337" i="2"/>
  <c r="F243" i="2"/>
  <c r="F339" i="2"/>
  <c r="F190" i="2"/>
  <c r="D106" i="2"/>
  <c r="F31" i="2"/>
  <c r="D270" i="2"/>
  <c r="F159" i="2"/>
  <c r="D77" i="2"/>
  <c r="E344" i="2"/>
  <c r="E184" i="2"/>
  <c r="E87" i="2"/>
  <c r="D26" i="2"/>
  <c r="D263" i="2"/>
  <c r="F118" i="2"/>
  <c r="E52" i="2"/>
  <c r="E34" i="2"/>
  <c r="D141" i="2"/>
  <c r="D302" i="2"/>
  <c r="E219" i="2"/>
  <c r="D49" i="2"/>
  <c r="F166" i="2"/>
  <c r="D365" i="2"/>
  <c r="D133" i="2"/>
  <c r="E53" i="2"/>
  <c r="E160" i="2"/>
  <c r="E95" i="2"/>
  <c r="D200" i="2"/>
  <c r="F341" i="2"/>
  <c r="D235" i="2"/>
  <c r="E141" i="2"/>
  <c r="E99" i="2"/>
  <c r="E350" i="2"/>
  <c r="D103" i="2"/>
  <c r="D303" i="2"/>
  <c r="D182" i="2"/>
  <c r="D305" i="2"/>
  <c r="F129" i="2"/>
  <c r="D74" i="2"/>
  <c r="E70" i="2"/>
  <c r="E78" i="2"/>
  <c r="D120" i="2"/>
  <c r="F202" i="2"/>
  <c r="F36" i="2"/>
  <c r="F224" i="2"/>
  <c r="D187" i="2"/>
  <c r="F65" i="2"/>
  <c r="E144" i="2"/>
  <c r="F115" i="2"/>
  <c r="D136" i="2"/>
  <c r="F223" i="2"/>
  <c r="D101" i="2"/>
  <c r="D35" i="2"/>
  <c r="D16" i="2"/>
  <c r="E26" i="2"/>
  <c r="E297" i="2"/>
  <c r="D321" i="2"/>
  <c r="D261" i="2"/>
  <c r="D304" i="2"/>
  <c r="D244" i="2"/>
  <c r="D184" i="2"/>
  <c r="E303" i="2"/>
  <c r="E228" i="2"/>
  <c r="F165" i="2"/>
  <c r="E320" i="2"/>
  <c r="E246" i="2"/>
  <c r="F183" i="2"/>
  <c r="F325" i="2"/>
  <c r="D251" i="2"/>
  <c r="E188" i="2"/>
  <c r="F322" i="2"/>
  <c r="E248" i="2"/>
  <c r="E180" i="2"/>
  <c r="F308" i="2"/>
  <c r="F209" i="2"/>
  <c r="E312" i="2"/>
  <c r="F208" i="2"/>
  <c r="F113" i="2"/>
  <c r="E333" i="2"/>
  <c r="E204" i="2"/>
  <c r="E322" i="2"/>
  <c r="E185" i="2"/>
  <c r="F90" i="2"/>
  <c r="D29" i="2"/>
  <c r="F264" i="2"/>
  <c r="E137" i="2"/>
  <c r="F74" i="2"/>
  <c r="F332" i="2"/>
  <c r="D150" i="2"/>
  <c r="F84" i="2"/>
  <c r="E21" i="2"/>
  <c r="D226" i="2"/>
  <c r="D113" i="2"/>
  <c r="F47" i="2"/>
  <c r="D63" i="2"/>
  <c r="D152" i="2"/>
  <c r="F312" i="2"/>
  <c r="E174" i="2"/>
  <c r="F56" i="2"/>
  <c r="F80" i="2"/>
  <c r="F22" i="2"/>
  <c r="E88" i="2"/>
  <c r="F144" i="2"/>
  <c r="D279" i="2"/>
  <c r="D104" i="2"/>
  <c r="F51" i="2"/>
  <c r="F311" i="2"/>
  <c r="F294" i="2"/>
  <c r="F174" i="2"/>
  <c r="F220" i="2"/>
  <c r="F238" i="2"/>
  <c r="E243" i="2"/>
  <c r="D308" i="2"/>
  <c r="F172" i="2"/>
  <c r="F303" i="2"/>
  <c r="D320" i="2"/>
  <c r="E164" i="2"/>
  <c r="D253" i="2"/>
  <c r="F139" i="2"/>
  <c r="E105" i="2"/>
  <c r="F336" i="2"/>
  <c r="E31" i="2"/>
  <c r="E250" i="2"/>
  <c r="D58" i="2"/>
  <c r="D284" i="2"/>
  <c r="D227" i="2"/>
  <c r="D76" i="2"/>
  <c r="D192" i="2"/>
  <c r="D130" i="2"/>
  <c r="E156" i="2"/>
  <c r="E266" i="2"/>
  <c r="D115" i="2"/>
  <c r="F96" i="2"/>
  <c r="F20" i="2"/>
  <c r="E30" i="2"/>
  <c r="F314" i="2"/>
  <c r="E316" i="2"/>
  <c r="E256" i="2"/>
  <c r="E299" i="2"/>
  <c r="E239" i="2"/>
  <c r="E179" i="2"/>
  <c r="F300" i="2"/>
  <c r="D223" i="2"/>
  <c r="D163" i="2"/>
  <c r="F317" i="2"/>
  <c r="D241" i="2"/>
  <c r="E178" i="2"/>
  <c r="D317" i="2"/>
  <c r="F248" i="2"/>
  <c r="D183" i="2"/>
  <c r="D314" i="2"/>
  <c r="D243" i="2"/>
  <c r="D175" i="2"/>
  <c r="F304" i="2"/>
  <c r="F205" i="2"/>
  <c r="F307" i="2"/>
  <c r="F200" i="2"/>
  <c r="D111" i="2"/>
  <c r="F324" i="2"/>
  <c r="E200" i="2"/>
  <c r="F310" i="2"/>
  <c r="F169" i="2"/>
  <c r="E85" i="2"/>
  <c r="E24" i="2"/>
  <c r="E258" i="2"/>
  <c r="D132" i="2"/>
  <c r="D72" i="2"/>
  <c r="D327" i="2"/>
  <c r="E143" i="2"/>
  <c r="E79" i="2"/>
  <c r="F16" i="2"/>
  <c r="F215" i="2"/>
  <c r="F110" i="2"/>
  <c r="D45" i="2"/>
  <c r="E66" i="2"/>
  <c r="E157" i="2"/>
  <c r="E319" i="2"/>
  <c r="F267" i="2"/>
  <c r="E74" i="2"/>
  <c r="E182" i="2"/>
  <c r="E18" i="2"/>
  <c r="E152" i="2"/>
  <c r="F60" i="2"/>
  <c r="D198" i="2"/>
  <c r="F367" i="2"/>
  <c r="D336" i="2"/>
  <c r="D301" i="2"/>
  <c r="F273" i="2"/>
  <c r="F179" i="2"/>
  <c r="D128" i="2"/>
  <c r="D30" i="2"/>
  <c r="D366" i="2"/>
  <c r="F366" i="2"/>
  <c r="F234" i="2"/>
  <c r="D286" i="2"/>
  <c r="E158" i="2"/>
  <c r="D173" i="2"/>
  <c r="F180" i="2"/>
  <c r="F240" i="2"/>
  <c r="D300" i="2"/>
  <c r="E106" i="2"/>
  <c r="F196" i="2"/>
  <c r="F19" i="2"/>
  <c r="F321" i="2"/>
  <c r="E210" i="2"/>
  <c r="F181" i="2"/>
  <c r="D190" i="2"/>
  <c r="F13" i="2"/>
  <c r="F85" i="2"/>
  <c r="E44" i="2"/>
  <c r="D234" i="2"/>
  <c r="F293" i="2"/>
  <c r="D180" i="2"/>
  <c r="F91" i="2"/>
  <c r="D309" i="2"/>
  <c r="F330" i="2"/>
  <c r="D208" i="2"/>
  <c r="F280" i="2"/>
  <c r="F178" i="2"/>
  <c r="D283" i="2"/>
  <c r="F148" i="2"/>
  <c r="D238" i="2"/>
  <c r="D354" i="2"/>
  <c r="D209" i="2"/>
  <c r="F278" i="2"/>
  <c r="E338" i="2"/>
  <c r="D169" i="2"/>
  <c r="F272" i="2"/>
  <c r="D299" i="2"/>
  <c r="E119" i="2"/>
  <c r="F327" i="2"/>
  <c r="D119" i="2"/>
  <c r="F361" i="2"/>
  <c r="D116" i="2"/>
  <c r="E332" i="2"/>
  <c r="D100" i="2"/>
  <c r="D18" i="2"/>
  <c r="F260" i="2"/>
  <c r="F15" i="2"/>
  <c r="E129" i="2"/>
  <c r="D105" i="2"/>
  <c r="F98" i="2"/>
  <c r="F288" i="2"/>
  <c r="D255" i="2"/>
  <c r="F194" i="2"/>
  <c r="F141" i="2"/>
  <c r="F235" i="2"/>
  <c r="F206" i="2"/>
  <c r="F281" i="2"/>
  <c r="F268" i="2"/>
  <c r="D114" i="2"/>
  <c r="F116" i="2"/>
  <c r="E113" i="2"/>
  <c r="F97" i="2"/>
  <c r="E267" i="2"/>
  <c r="F221" i="2"/>
  <c r="D102" i="2"/>
  <c r="E272" i="2"/>
  <c r="D22" i="2"/>
  <c r="E229" i="2"/>
  <c r="E313" i="2"/>
  <c r="F107" i="2"/>
  <c r="E366" i="2"/>
  <c r="E261" i="2"/>
  <c r="E310" i="2"/>
  <c r="E81" i="2"/>
  <c r="D107" i="2"/>
  <c r="E135" i="2"/>
  <c r="D259" i="2"/>
  <c r="E71" i="2"/>
  <c r="D171" i="2"/>
  <c r="D260" i="2"/>
  <c r="F363" i="2"/>
  <c r="F296" i="2"/>
  <c r="F251" i="2"/>
  <c r="E103" i="2"/>
  <c r="F286" i="2"/>
  <c r="D28" i="2"/>
  <c r="F134" i="2"/>
  <c r="D148" i="2"/>
  <c r="F275" i="2"/>
  <c r="D355" i="2"/>
  <c r="D288" i="2"/>
  <c r="E94" i="2"/>
  <c r="D211" i="2"/>
  <c r="E64" i="2"/>
  <c r="F261" i="2"/>
  <c r="D307" i="2"/>
  <c r="F30" i="2"/>
  <c r="D91" i="2"/>
  <c r="D215" i="2"/>
  <c r="E285" i="2"/>
  <c r="F32" i="2"/>
  <c r="F226" i="2"/>
  <c r="E50" i="2"/>
  <c r="F249" i="2"/>
  <c r="F257" i="2"/>
  <c r="F104" i="2"/>
  <c r="E304" i="2"/>
  <c r="D328" i="2"/>
  <c r="E203" i="2"/>
  <c r="E277" i="2"/>
  <c r="D277" i="2"/>
  <c r="D363" i="2"/>
  <c r="E351" i="2"/>
  <c r="D274" i="2"/>
  <c r="F158" i="2"/>
  <c r="E293" i="2"/>
  <c r="D322" i="2"/>
  <c r="F269" i="2"/>
  <c r="E321" i="2"/>
  <c r="F21" i="2"/>
  <c r="F18" i="2"/>
  <c r="F109" i="2"/>
  <c r="D296" i="2"/>
  <c r="D278" i="2"/>
  <c r="E117" i="2"/>
  <c r="D281" i="2"/>
  <c r="D64" i="2"/>
  <c r="D266" i="2"/>
  <c r="F302" i="2"/>
  <c r="E72" i="2"/>
  <c r="F71" i="2"/>
  <c r="E114" i="2"/>
  <c r="F86" i="2"/>
  <c r="F151" i="2"/>
  <c r="F49" i="2"/>
  <c r="D40" i="2"/>
  <c r="E355" i="2"/>
  <c r="D228" i="2"/>
  <c r="D155" i="2"/>
  <c r="D99" i="2"/>
  <c r="F216" i="2"/>
  <c r="D69" i="2"/>
  <c r="D245" i="2"/>
  <c r="E298" i="2"/>
  <c r="F283" i="2"/>
  <c r="D280" i="2"/>
  <c r="F225" i="2"/>
  <c r="E150" i="2"/>
  <c r="F192" i="2"/>
  <c r="D85" i="2"/>
  <c r="D205" i="2"/>
  <c r="E38" i="2"/>
  <c r="F138" i="2"/>
  <c r="E187" i="2"/>
  <c r="E296" i="2"/>
  <c r="D273" i="2"/>
  <c r="D349" i="2"/>
  <c r="F201" i="2"/>
  <c r="F255" i="2"/>
  <c r="F188" i="2"/>
  <c r="D54" i="2"/>
  <c r="E41" i="2"/>
  <c r="E122" i="2"/>
  <c r="D55" i="2"/>
  <c r="F309" i="2"/>
  <c r="E289" i="2"/>
  <c r="E327" i="2"/>
  <c r="D118" i="2"/>
  <c r="F299" i="2"/>
  <c r="D292" i="2"/>
  <c r="F198" i="2"/>
  <c r="F274" i="2"/>
  <c r="F369" i="2"/>
  <c r="D257" i="2"/>
  <c r="E360" i="2"/>
  <c r="E230" i="2"/>
  <c r="E305" i="2"/>
  <c r="E201" i="2"/>
  <c r="E265" i="2"/>
  <c r="F277" i="2"/>
  <c r="F125" i="2"/>
  <c r="D264" i="2"/>
  <c r="D276" i="2"/>
  <c r="E77" i="2"/>
  <c r="F316" i="2"/>
  <c r="E111" i="2"/>
  <c r="F252" i="2"/>
  <c r="D95" i="2"/>
  <c r="D315" i="2"/>
  <c r="E92" i="2"/>
  <c r="F73" i="2"/>
  <c r="F106" i="2"/>
  <c r="F358" i="2"/>
  <c r="F357" i="2"/>
  <c r="D269" i="2"/>
  <c r="E255" i="2"/>
  <c r="F108" i="2"/>
  <c r="E69" i="2"/>
  <c r="F284" i="2"/>
  <c r="E237" i="2"/>
  <c r="F289" i="2"/>
  <c r="D32" i="2"/>
  <c r="E280" i="2"/>
  <c r="E354" i="2"/>
  <c r="E264" i="2"/>
  <c r="F67" i="2"/>
  <c r="F64" i="2"/>
  <c r="F364" i="2"/>
  <c r="D122" i="2"/>
  <c r="F48" i="2"/>
  <c r="F10" i="2"/>
  <c r="F46" i="2"/>
  <c r="F352" i="2"/>
  <c r="D204" i="2"/>
  <c r="E260" i="2"/>
  <c r="E206" i="2"/>
  <c r="E231" i="2"/>
  <c r="F93" i="2"/>
  <c r="F319" i="2"/>
  <c r="E149" i="2"/>
  <c r="D20" i="2"/>
  <c r="E364" i="2"/>
  <c r="E349" i="2"/>
  <c r="E308" i="2"/>
  <c r="D178" i="2"/>
  <c r="E11" i="2"/>
  <c r="F135" i="2"/>
  <c r="D96" i="2"/>
  <c r="D361" i="2"/>
  <c r="E35" i="2"/>
  <c r="E131" i="2"/>
  <c r="D285" i="2"/>
  <c r="E287" i="2"/>
  <c r="D196" i="2"/>
  <c r="E233" i="2"/>
  <c r="F214" i="2"/>
  <c r="E193" i="2"/>
  <c r="F101" i="2"/>
  <c r="F232" i="2"/>
  <c r="D247" i="2"/>
  <c r="F292" i="2"/>
  <c r="D25" i="2"/>
  <c r="D166" i="2"/>
  <c r="E306" i="2"/>
  <c r="F282" i="2"/>
  <c r="E209" i="2"/>
  <c r="D237" i="2"/>
  <c r="E211" i="2"/>
  <c r="D242" i="2"/>
  <c r="D89" i="2"/>
  <c r="F197" i="2"/>
  <c r="E218" i="2"/>
  <c r="E46" i="2"/>
  <c r="E83" i="2"/>
  <c r="D369" i="2"/>
  <c r="E241" i="2"/>
  <c r="D311" i="2"/>
  <c r="E221" i="2"/>
  <c r="D65" i="2"/>
  <c r="D62" i="2"/>
  <c r="D56" i="2"/>
  <c r="F133" i="2"/>
  <c r="E75" i="2"/>
  <c r="D10" i="2"/>
  <c r="D7" i="2" s="1"/>
  <c r="E108" i="2"/>
  <c r="E275" i="2"/>
  <c r="D207" i="2"/>
  <c r="F145" i="2"/>
  <c r="F12" i="2"/>
  <c r="E367" i="2"/>
  <c r="D177" i="2"/>
  <c r="F347" i="2"/>
  <c r="D254" i="2"/>
  <c r="F11" i="2"/>
  <c r="D36" i="2"/>
  <c r="E181" i="2"/>
  <c r="E300" i="2"/>
  <c r="E10" i="2"/>
  <c r="E245" i="2"/>
  <c r="E16" i="2"/>
  <c r="D17" i="2"/>
  <c r="F227" i="2"/>
  <c r="E227" i="2"/>
  <c r="F301" i="2"/>
  <c r="D342" i="2"/>
  <c r="E238" i="2"/>
  <c r="D21" i="2"/>
  <c r="D41" i="2"/>
  <c r="D230" i="2"/>
  <c r="F359" i="2"/>
  <c r="F88" i="2"/>
  <c r="F229" i="2"/>
  <c r="F23" i="2"/>
  <c r="F55" i="2"/>
  <c r="E235" i="2"/>
  <c r="D256" i="2"/>
  <c r="E73" i="2"/>
  <c r="F147" i="2"/>
  <c r="F59" i="2"/>
  <c r="E60" i="2"/>
  <c r="E259" i="2"/>
  <c r="D189" i="2"/>
  <c r="C10" i="2"/>
  <c r="F211" i="2"/>
  <c r="D149" i="2"/>
  <c r="E22" i="2"/>
  <c r="D86" i="2"/>
  <c r="E101" i="2"/>
  <c r="E168" i="2"/>
  <c r="D221" i="2"/>
  <c r="E195" i="2"/>
  <c r="D144" i="2"/>
  <c r="F77" i="2"/>
  <c r="D356" i="2"/>
  <c r="D160" i="2"/>
  <c r="F291" i="2"/>
  <c r="D332" i="2"/>
  <c r="D352" i="2"/>
  <c r="D138" i="2"/>
  <c r="D34" i="2"/>
  <c r="D335" i="2"/>
  <c r="D47" i="2"/>
  <c r="E120" i="2"/>
  <c r="F42" i="2"/>
  <c r="D70" i="2"/>
  <c r="D318" i="2"/>
  <c r="F150" i="2"/>
  <c r="F187" i="2"/>
  <c r="E276" i="2"/>
  <c r="F61" i="2"/>
  <c r="F33" i="2"/>
  <c r="D71" i="2"/>
  <c r="D331" i="2"/>
  <c r="D324" i="2"/>
  <c r="E123" i="2"/>
  <c r="E342" i="2"/>
  <c r="F83" i="2"/>
  <c r="F245" i="2"/>
  <c r="E341" i="2"/>
  <c r="F87" i="2"/>
  <c r="D23" i="2"/>
  <c r="D176" i="2"/>
  <c r="D218" i="2"/>
  <c r="E107" i="2"/>
  <c r="E32" i="2"/>
  <c r="E358" i="2"/>
  <c r="E240" i="2"/>
  <c r="F149" i="2"/>
  <c r="F119" i="2"/>
  <c r="F262" i="2"/>
  <c r="D51" i="2"/>
  <c r="E14" i="2"/>
  <c r="E23" i="2"/>
  <c r="F313" i="2"/>
  <c r="E163" i="2"/>
  <c r="E116" i="2"/>
  <c r="D325" i="2"/>
  <c r="D61" i="2"/>
  <c r="F218" i="2"/>
  <c r="E273" i="2"/>
  <c r="F20" i="1"/>
  <c r="E65" i="2"/>
  <c r="D289" i="2"/>
  <c r="D139" i="2"/>
  <c r="F171" i="2"/>
  <c r="E80" i="2"/>
  <c r="E13" i="2"/>
  <c r="E202" i="2"/>
  <c r="D92" i="2"/>
  <c r="E242" i="2"/>
  <c r="F241" i="2"/>
  <c r="D27" i="2"/>
  <c r="F69" i="2"/>
  <c r="O19" i="1"/>
  <c r="O22" i="1" s="1"/>
  <c r="R19" i="1"/>
  <c r="R22" i="1" s="1"/>
  <c r="N19" i="1"/>
  <c r="N22" i="1" s="1"/>
  <c r="Q19" i="1"/>
  <c r="P19" i="1"/>
  <c r="P22" i="1" s="1"/>
  <c r="L22" i="4" l="1"/>
  <c r="E31" i="4" s="1"/>
  <c r="M19" i="4"/>
  <c r="E35" i="4"/>
  <c r="L52" i="1"/>
  <c r="L53" i="1" s="1"/>
  <c r="L54" i="1" s="1"/>
  <c r="L56" i="1" s="1"/>
  <c r="L61" i="1" s="1"/>
  <c r="L62" i="1" s="1"/>
  <c r="L63" i="1" s="1"/>
  <c r="L64" i="1" s="1"/>
  <c r="M3" i="2"/>
  <c r="D53" i="1"/>
  <c r="M46" i="1"/>
  <c r="M68" i="1" s="1"/>
  <c r="O52" i="1"/>
  <c r="O53" i="1" s="1"/>
  <c r="O54" i="1" s="1"/>
  <c r="P41" i="1"/>
  <c r="P43" i="1" s="1"/>
  <c r="P46" i="1" s="1"/>
  <c r="M52" i="1"/>
  <c r="M53" i="1" s="1"/>
  <c r="M54" i="1" s="1"/>
  <c r="N41" i="1"/>
  <c r="N43" i="1" s="1"/>
  <c r="N46" i="1" s="1"/>
  <c r="N68" i="1" s="1"/>
  <c r="R52" i="1"/>
  <c r="R53" i="1" s="1"/>
  <c r="R54" i="1" s="1"/>
  <c r="S41" i="1"/>
  <c r="S43" i="1" s="1"/>
  <c r="S46" i="1" s="1"/>
  <c r="P52" i="1"/>
  <c r="P53" i="1" s="1"/>
  <c r="P54" i="1" s="1"/>
  <c r="Q41" i="1"/>
  <c r="Q43" i="1" s="1"/>
  <c r="Q46" i="1" s="1"/>
  <c r="N52" i="1"/>
  <c r="N53" i="1" s="1"/>
  <c r="N54" i="1" s="1"/>
  <c r="O41" i="1"/>
  <c r="O43" i="1" s="1"/>
  <c r="O46" i="1" s="1"/>
  <c r="O68" i="1" s="1"/>
  <c r="Q52" i="1"/>
  <c r="Q53" i="1" s="1"/>
  <c r="Q54" i="1" s="1"/>
  <c r="R41" i="1"/>
  <c r="R43" i="1" s="1"/>
  <c r="R46" i="1" s="1"/>
  <c r="K3" i="2"/>
  <c r="O3" i="2"/>
  <c r="P3" i="2"/>
  <c r="G10" i="2"/>
  <c r="C11" i="2" s="1"/>
  <c r="G11" i="2" s="1"/>
  <c r="C12" i="2" s="1"/>
  <c r="G12" i="2" s="1"/>
  <c r="C13" i="2" s="1"/>
  <c r="G13" i="2" s="1"/>
  <c r="C14" i="2" s="1"/>
  <c r="G14" i="2" s="1"/>
  <c r="C15" i="2" s="1"/>
  <c r="G15" i="2" s="1"/>
  <c r="C16" i="2" s="1"/>
  <c r="G16" i="2" s="1"/>
  <c r="C17" i="2" s="1"/>
  <c r="G17" i="2" s="1"/>
  <c r="C18" i="2" s="1"/>
  <c r="G18" i="2" s="1"/>
  <c r="C19" i="2" s="1"/>
  <c r="G19" i="2" s="1"/>
  <c r="C20" i="2" s="1"/>
  <c r="G20" i="2" s="1"/>
  <c r="C21" i="2" s="1"/>
  <c r="G21" i="2" s="1"/>
  <c r="C22" i="2" s="1"/>
  <c r="G22" i="2" s="1"/>
  <c r="C23" i="2" s="1"/>
  <c r="G23" i="2" s="1"/>
  <c r="C24" i="2" s="1"/>
  <c r="G24" i="2" s="1"/>
  <c r="C25" i="2" s="1"/>
  <c r="G25" i="2" s="1"/>
  <c r="C26" i="2" s="1"/>
  <c r="G26" i="2" s="1"/>
  <c r="C27" i="2" s="1"/>
  <c r="G27" i="2" s="1"/>
  <c r="C28" i="2" s="1"/>
  <c r="G28" i="2" s="1"/>
  <c r="C29" i="2" s="1"/>
  <c r="G29" i="2" s="1"/>
  <c r="C30" i="2" s="1"/>
  <c r="G30" i="2" s="1"/>
  <c r="C31" i="2" s="1"/>
  <c r="G31" i="2" s="1"/>
  <c r="C32" i="2" s="1"/>
  <c r="G32" i="2" s="1"/>
  <c r="C33" i="2" s="1"/>
  <c r="G33" i="2" s="1"/>
  <c r="C34" i="2" s="1"/>
  <c r="G34" i="2" s="1"/>
  <c r="C35" i="2" s="1"/>
  <c r="G35" i="2" s="1"/>
  <c r="C36" i="2" s="1"/>
  <c r="G36" i="2" s="1"/>
  <c r="C37" i="2" s="1"/>
  <c r="G37" i="2" s="1"/>
  <c r="C38" i="2" s="1"/>
  <c r="G38" i="2" s="1"/>
  <c r="C39" i="2" s="1"/>
  <c r="G39" i="2" s="1"/>
  <c r="C40" i="2" s="1"/>
  <c r="G40" i="2" s="1"/>
  <c r="C41" i="2" s="1"/>
  <c r="G41" i="2" s="1"/>
  <c r="C42" i="2" s="1"/>
  <c r="G42" i="2" s="1"/>
  <c r="C43" i="2" s="1"/>
  <c r="G43" i="2" s="1"/>
  <c r="C44" i="2" s="1"/>
  <c r="G44" i="2" s="1"/>
  <c r="C45" i="2" s="1"/>
  <c r="G45" i="2" s="1"/>
  <c r="C46" i="2" s="1"/>
  <c r="G46" i="2" s="1"/>
  <c r="C47" i="2" s="1"/>
  <c r="G47" i="2" s="1"/>
  <c r="C48" i="2" s="1"/>
  <c r="G48" i="2" s="1"/>
  <c r="C49" i="2" s="1"/>
  <c r="G49" i="2" s="1"/>
  <c r="C50" i="2" s="1"/>
  <c r="G50" i="2" s="1"/>
  <c r="C51" i="2" s="1"/>
  <c r="G51" i="2" s="1"/>
  <c r="C52" i="2" s="1"/>
  <c r="G52" i="2" s="1"/>
  <c r="C53" i="2" s="1"/>
  <c r="G53" i="2" s="1"/>
  <c r="C54" i="2" s="1"/>
  <c r="G54" i="2" s="1"/>
  <c r="C55" i="2" s="1"/>
  <c r="G55" i="2" s="1"/>
  <c r="C56" i="2" s="1"/>
  <c r="G56" i="2" s="1"/>
  <c r="C57" i="2" s="1"/>
  <c r="G57" i="2" s="1"/>
  <c r="C58" i="2" s="1"/>
  <c r="G58" i="2" s="1"/>
  <c r="C59" i="2" s="1"/>
  <c r="G59" i="2" s="1"/>
  <c r="C60" i="2" s="1"/>
  <c r="G60" i="2" s="1"/>
  <c r="C61" i="2" s="1"/>
  <c r="G61" i="2" s="1"/>
  <c r="C62" i="2" s="1"/>
  <c r="G62" i="2" s="1"/>
  <c r="C63" i="2" s="1"/>
  <c r="G63" i="2" s="1"/>
  <c r="C64" i="2" s="1"/>
  <c r="G64" i="2" s="1"/>
  <c r="C65" i="2" s="1"/>
  <c r="G65" i="2" s="1"/>
  <c r="C66" i="2" s="1"/>
  <c r="G66" i="2" s="1"/>
  <c r="C67" i="2" s="1"/>
  <c r="G67" i="2" s="1"/>
  <c r="C68" i="2" s="1"/>
  <c r="G68" i="2" s="1"/>
  <c r="C69" i="2" s="1"/>
  <c r="G69" i="2" s="1"/>
  <c r="C70" i="2" s="1"/>
  <c r="G70" i="2" s="1"/>
  <c r="C71" i="2" s="1"/>
  <c r="G71" i="2" s="1"/>
  <c r="C72" i="2" s="1"/>
  <c r="G72" i="2" s="1"/>
  <c r="C73" i="2" s="1"/>
  <c r="G73" i="2" s="1"/>
  <c r="C74" i="2" s="1"/>
  <c r="G74" i="2" s="1"/>
  <c r="C75" i="2" s="1"/>
  <c r="G75" i="2" s="1"/>
  <c r="C76" i="2" s="1"/>
  <c r="G76" i="2" s="1"/>
  <c r="C77" i="2" s="1"/>
  <c r="G77" i="2" s="1"/>
  <c r="C78" i="2" s="1"/>
  <c r="G78" i="2" s="1"/>
  <c r="C79" i="2" s="1"/>
  <c r="G79" i="2" s="1"/>
  <c r="C80" i="2" s="1"/>
  <c r="G80" i="2" s="1"/>
  <c r="C81" i="2" s="1"/>
  <c r="G81" i="2" s="1"/>
  <c r="C82" i="2" s="1"/>
  <c r="G82" i="2" s="1"/>
  <c r="C83" i="2" s="1"/>
  <c r="G83" i="2" s="1"/>
  <c r="C84" i="2" s="1"/>
  <c r="G84" i="2" s="1"/>
  <c r="C85" i="2" s="1"/>
  <c r="G85" i="2" s="1"/>
  <c r="C86" i="2" s="1"/>
  <c r="G86" i="2" s="1"/>
  <c r="C87" i="2" s="1"/>
  <c r="G87" i="2" s="1"/>
  <c r="C88" i="2" s="1"/>
  <c r="G88" i="2" s="1"/>
  <c r="C89" i="2" s="1"/>
  <c r="G89" i="2" s="1"/>
  <c r="C90" i="2" s="1"/>
  <c r="G90" i="2" s="1"/>
  <c r="C91" i="2" s="1"/>
  <c r="G91" i="2" s="1"/>
  <c r="C92" i="2" s="1"/>
  <c r="G92" i="2" s="1"/>
  <c r="C93" i="2" s="1"/>
  <c r="G93" i="2" s="1"/>
  <c r="C94" i="2" s="1"/>
  <c r="G94" i="2" s="1"/>
  <c r="C95" i="2" s="1"/>
  <c r="G95" i="2" s="1"/>
  <c r="C96" i="2" s="1"/>
  <c r="G96" i="2" s="1"/>
  <c r="C97" i="2" s="1"/>
  <c r="G97" i="2" s="1"/>
  <c r="C98" i="2" s="1"/>
  <c r="G98" i="2" s="1"/>
  <c r="C99" i="2" s="1"/>
  <c r="G99" i="2" s="1"/>
  <c r="C100" i="2" s="1"/>
  <c r="G100" i="2" s="1"/>
  <c r="C101" i="2" s="1"/>
  <c r="G101" i="2" s="1"/>
  <c r="C102" i="2" s="1"/>
  <c r="G102" i="2" s="1"/>
  <c r="C103" i="2" s="1"/>
  <c r="G103" i="2" s="1"/>
  <c r="C104" i="2" s="1"/>
  <c r="G104" i="2" s="1"/>
  <c r="C105" i="2" s="1"/>
  <c r="G105" i="2" s="1"/>
  <c r="C106" i="2" s="1"/>
  <c r="G106" i="2" s="1"/>
  <c r="C107" i="2" s="1"/>
  <c r="G107" i="2" s="1"/>
  <c r="C108" i="2" s="1"/>
  <c r="G108" i="2" s="1"/>
  <c r="C109" i="2" s="1"/>
  <c r="G109" i="2" s="1"/>
  <c r="C110" i="2" s="1"/>
  <c r="G110" i="2" s="1"/>
  <c r="C111" i="2" s="1"/>
  <c r="G111" i="2" s="1"/>
  <c r="C112" i="2" s="1"/>
  <c r="G112" i="2" s="1"/>
  <c r="C113" i="2" s="1"/>
  <c r="G113" i="2" s="1"/>
  <c r="C114" i="2" s="1"/>
  <c r="G114" i="2" s="1"/>
  <c r="C115" i="2" s="1"/>
  <c r="G115" i="2" s="1"/>
  <c r="C116" i="2" s="1"/>
  <c r="G116" i="2" s="1"/>
  <c r="C117" i="2" s="1"/>
  <c r="G117" i="2" s="1"/>
  <c r="C118" i="2" s="1"/>
  <c r="G118" i="2" s="1"/>
  <c r="C119" i="2" s="1"/>
  <c r="G119" i="2" s="1"/>
  <c r="C120" i="2" s="1"/>
  <c r="G120" i="2" s="1"/>
  <c r="C121" i="2" s="1"/>
  <c r="G121" i="2" s="1"/>
  <c r="C122" i="2" s="1"/>
  <c r="G122" i="2" s="1"/>
  <c r="C123" i="2" s="1"/>
  <c r="G123" i="2" s="1"/>
  <c r="C124" i="2" s="1"/>
  <c r="G124" i="2" s="1"/>
  <c r="C125" i="2" s="1"/>
  <c r="G125" i="2" s="1"/>
  <c r="C126" i="2" s="1"/>
  <c r="G126" i="2" s="1"/>
  <c r="C127" i="2" s="1"/>
  <c r="G127" i="2" s="1"/>
  <c r="C128" i="2" s="1"/>
  <c r="G128" i="2" s="1"/>
  <c r="C129" i="2" s="1"/>
  <c r="G129" i="2" s="1"/>
  <c r="C130" i="2" s="1"/>
  <c r="G130" i="2" s="1"/>
  <c r="C131" i="2" s="1"/>
  <c r="G131" i="2" s="1"/>
  <c r="C132" i="2" s="1"/>
  <c r="G132" i="2" s="1"/>
  <c r="C133" i="2" s="1"/>
  <c r="G133" i="2" s="1"/>
  <c r="C134" i="2" s="1"/>
  <c r="G134" i="2" s="1"/>
  <c r="C135" i="2" s="1"/>
  <c r="G135" i="2" s="1"/>
  <c r="C136" i="2" s="1"/>
  <c r="G136" i="2" s="1"/>
  <c r="C137" i="2" s="1"/>
  <c r="G137" i="2" s="1"/>
  <c r="C138" i="2" s="1"/>
  <c r="G138" i="2" s="1"/>
  <c r="C139" i="2" s="1"/>
  <c r="G139" i="2" s="1"/>
  <c r="C140" i="2" s="1"/>
  <c r="G140" i="2" s="1"/>
  <c r="C141" i="2" s="1"/>
  <c r="G141" i="2" s="1"/>
  <c r="C142" i="2" s="1"/>
  <c r="G142" i="2" s="1"/>
  <c r="C143" i="2" s="1"/>
  <c r="G143" i="2" s="1"/>
  <c r="C144" i="2" s="1"/>
  <c r="G144" i="2" s="1"/>
  <c r="C145" i="2" s="1"/>
  <c r="G145" i="2" s="1"/>
  <c r="C146" i="2" s="1"/>
  <c r="G146" i="2" s="1"/>
  <c r="C147" i="2" s="1"/>
  <c r="G147" i="2" s="1"/>
  <c r="C148" i="2" s="1"/>
  <c r="G148" i="2" s="1"/>
  <c r="C149" i="2" s="1"/>
  <c r="G149" i="2" s="1"/>
  <c r="C150" i="2" s="1"/>
  <c r="G150" i="2" s="1"/>
  <c r="C151" i="2" s="1"/>
  <c r="G151" i="2" s="1"/>
  <c r="C152" i="2" s="1"/>
  <c r="G152" i="2" s="1"/>
  <c r="C153" i="2" s="1"/>
  <c r="G153" i="2" s="1"/>
  <c r="C154" i="2" s="1"/>
  <c r="G154" i="2" s="1"/>
  <c r="C155" i="2" s="1"/>
  <c r="G155" i="2" s="1"/>
  <c r="C156" i="2" s="1"/>
  <c r="G156" i="2" s="1"/>
  <c r="C157" i="2" s="1"/>
  <c r="G157" i="2" s="1"/>
  <c r="C158" i="2" s="1"/>
  <c r="G158" i="2" s="1"/>
  <c r="C159" i="2" s="1"/>
  <c r="G159" i="2" s="1"/>
  <c r="C160" i="2" s="1"/>
  <c r="G160" i="2" s="1"/>
  <c r="C161" i="2" s="1"/>
  <c r="G161" i="2" s="1"/>
  <c r="C162" i="2" s="1"/>
  <c r="G162" i="2" s="1"/>
  <c r="C163" i="2" s="1"/>
  <c r="G163" i="2" s="1"/>
  <c r="C164" i="2" s="1"/>
  <c r="G164" i="2" s="1"/>
  <c r="C165" i="2" s="1"/>
  <c r="G165" i="2" s="1"/>
  <c r="C166" i="2" s="1"/>
  <c r="G166" i="2" s="1"/>
  <c r="C167" i="2" s="1"/>
  <c r="G167" i="2" s="1"/>
  <c r="C168" i="2" s="1"/>
  <c r="G168" i="2" s="1"/>
  <c r="C169" i="2" s="1"/>
  <c r="G169" i="2" s="1"/>
  <c r="C170" i="2" s="1"/>
  <c r="G170" i="2" s="1"/>
  <c r="C171" i="2" s="1"/>
  <c r="G171" i="2" s="1"/>
  <c r="C172" i="2" s="1"/>
  <c r="G172" i="2" s="1"/>
  <c r="C173" i="2" s="1"/>
  <c r="G173" i="2" s="1"/>
  <c r="C174" i="2" s="1"/>
  <c r="G174" i="2" s="1"/>
  <c r="C175" i="2" s="1"/>
  <c r="G175" i="2" s="1"/>
  <c r="C176" i="2" s="1"/>
  <c r="G176" i="2" s="1"/>
  <c r="C177" i="2" s="1"/>
  <c r="G177" i="2" s="1"/>
  <c r="C178" i="2" s="1"/>
  <c r="G178" i="2" s="1"/>
  <c r="C179" i="2" s="1"/>
  <c r="G179" i="2" s="1"/>
  <c r="C180" i="2" s="1"/>
  <c r="G180" i="2" s="1"/>
  <c r="C181" i="2" s="1"/>
  <c r="G181" i="2" s="1"/>
  <c r="C182" i="2" s="1"/>
  <c r="G182" i="2" s="1"/>
  <c r="C183" i="2" s="1"/>
  <c r="G183" i="2" s="1"/>
  <c r="C184" i="2" s="1"/>
  <c r="G184" i="2" s="1"/>
  <c r="C185" i="2" s="1"/>
  <c r="G185" i="2" s="1"/>
  <c r="C186" i="2" s="1"/>
  <c r="G186" i="2" s="1"/>
  <c r="C187" i="2" s="1"/>
  <c r="G187" i="2" s="1"/>
  <c r="C188" i="2" s="1"/>
  <c r="G188" i="2" s="1"/>
  <c r="C189" i="2" s="1"/>
  <c r="G189" i="2" s="1"/>
  <c r="C190" i="2" s="1"/>
  <c r="G190" i="2" s="1"/>
  <c r="C191" i="2" s="1"/>
  <c r="G191" i="2" s="1"/>
  <c r="C192" i="2" s="1"/>
  <c r="G192" i="2" s="1"/>
  <c r="C193" i="2" s="1"/>
  <c r="G193" i="2" s="1"/>
  <c r="C194" i="2" s="1"/>
  <c r="G194" i="2" s="1"/>
  <c r="C195" i="2" s="1"/>
  <c r="G195" i="2" s="1"/>
  <c r="C196" i="2" s="1"/>
  <c r="G196" i="2" s="1"/>
  <c r="C197" i="2" s="1"/>
  <c r="G197" i="2" s="1"/>
  <c r="C198" i="2" s="1"/>
  <c r="G198" i="2" s="1"/>
  <c r="C199" i="2" s="1"/>
  <c r="G199" i="2" s="1"/>
  <c r="C200" i="2" s="1"/>
  <c r="G200" i="2" s="1"/>
  <c r="C201" i="2" s="1"/>
  <c r="G201" i="2" s="1"/>
  <c r="C202" i="2" s="1"/>
  <c r="G202" i="2" s="1"/>
  <c r="C203" i="2" s="1"/>
  <c r="G203" i="2" s="1"/>
  <c r="C204" i="2" s="1"/>
  <c r="G204" i="2" s="1"/>
  <c r="C205" i="2" s="1"/>
  <c r="G205" i="2" s="1"/>
  <c r="C206" i="2" s="1"/>
  <c r="G206" i="2" s="1"/>
  <c r="C207" i="2" s="1"/>
  <c r="G207" i="2" s="1"/>
  <c r="C208" i="2" s="1"/>
  <c r="G208" i="2" s="1"/>
  <c r="C209" i="2" s="1"/>
  <c r="G209" i="2" s="1"/>
  <c r="C210" i="2" s="1"/>
  <c r="G210" i="2" s="1"/>
  <c r="C211" i="2" s="1"/>
  <c r="G211" i="2" s="1"/>
  <c r="C212" i="2" s="1"/>
  <c r="G212" i="2" s="1"/>
  <c r="C213" i="2" s="1"/>
  <c r="G213" i="2" s="1"/>
  <c r="C214" i="2" s="1"/>
  <c r="G214" i="2" s="1"/>
  <c r="C215" i="2" s="1"/>
  <c r="G215" i="2" s="1"/>
  <c r="C216" i="2" s="1"/>
  <c r="G216" i="2" s="1"/>
  <c r="C217" i="2" s="1"/>
  <c r="G217" i="2" s="1"/>
  <c r="C218" i="2" s="1"/>
  <c r="G218" i="2" s="1"/>
  <c r="C219" i="2" s="1"/>
  <c r="G219" i="2" s="1"/>
  <c r="C220" i="2" s="1"/>
  <c r="G220" i="2" s="1"/>
  <c r="C221" i="2" s="1"/>
  <c r="G221" i="2" s="1"/>
  <c r="C222" i="2" s="1"/>
  <c r="G222" i="2" s="1"/>
  <c r="C223" i="2" s="1"/>
  <c r="G223" i="2" s="1"/>
  <c r="C224" i="2" s="1"/>
  <c r="G224" i="2" s="1"/>
  <c r="C225" i="2" s="1"/>
  <c r="G225" i="2" s="1"/>
  <c r="C226" i="2" s="1"/>
  <c r="G226" i="2" s="1"/>
  <c r="C227" i="2" s="1"/>
  <c r="G227" i="2" s="1"/>
  <c r="C228" i="2" s="1"/>
  <c r="G228" i="2" s="1"/>
  <c r="C229" i="2" s="1"/>
  <c r="G229" i="2" s="1"/>
  <c r="C230" i="2" s="1"/>
  <c r="G230" i="2" s="1"/>
  <c r="C231" i="2" s="1"/>
  <c r="G231" i="2" s="1"/>
  <c r="C232" i="2" s="1"/>
  <c r="G232" i="2" s="1"/>
  <c r="C233" i="2" s="1"/>
  <c r="G233" i="2" s="1"/>
  <c r="C234" i="2" s="1"/>
  <c r="G234" i="2" s="1"/>
  <c r="C235" i="2" s="1"/>
  <c r="G235" i="2" s="1"/>
  <c r="C236" i="2" s="1"/>
  <c r="G236" i="2" s="1"/>
  <c r="C237" i="2" s="1"/>
  <c r="G237" i="2" s="1"/>
  <c r="C238" i="2" s="1"/>
  <c r="G238" i="2" s="1"/>
  <c r="C239" i="2" s="1"/>
  <c r="G239" i="2" s="1"/>
  <c r="C240" i="2" s="1"/>
  <c r="G240" i="2" s="1"/>
  <c r="C241" i="2" s="1"/>
  <c r="G241" i="2" s="1"/>
  <c r="C242" i="2" s="1"/>
  <c r="G242" i="2" s="1"/>
  <c r="C243" i="2" s="1"/>
  <c r="G243" i="2" s="1"/>
  <c r="C244" i="2" s="1"/>
  <c r="G244" i="2" s="1"/>
  <c r="C245" i="2" s="1"/>
  <c r="G245" i="2" s="1"/>
  <c r="C246" i="2" s="1"/>
  <c r="G246" i="2" s="1"/>
  <c r="C247" i="2" s="1"/>
  <c r="G247" i="2" s="1"/>
  <c r="C248" i="2" s="1"/>
  <c r="G248" i="2" s="1"/>
  <c r="C249" i="2" s="1"/>
  <c r="G249" i="2" s="1"/>
  <c r="C250" i="2" s="1"/>
  <c r="G250" i="2" s="1"/>
  <c r="C251" i="2" s="1"/>
  <c r="G251" i="2" s="1"/>
  <c r="C252" i="2" s="1"/>
  <c r="G252" i="2" s="1"/>
  <c r="C253" i="2" s="1"/>
  <c r="G253" i="2" s="1"/>
  <c r="C254" i="2" s="1"/>
  <c r="G254" i="2" s="1"/>
  <c r="C255" i="2" s="1"/>
  <c r="G255" i="2" s="1"/>
  <c r="C256" i="2" s="1"/>
  <c r="G256" i="2" s="1"/>
  <c r="C257" i="2" s="1"/>
  <c r="G257" i="2" s="1"/>
  <c r="C258" i="2" s="1"/>
  <c r="G258" i="2" s="1"/>
  <c r="C259" i="2" s="1"/>
  <c r="G259" i="2" s="1"/>
  <c r="C260" i="2" s="1"/>
  <c r="G260" i="2" s="1"/>
  <c r="C261" i="2" s="1"/>
  <c r="G261" i="2" s="1"/>
  <c r="C262" i="2" s="1"/>
  <c r="G262" i="2" s="1"/>
  <c r="C263" i="2" s="1"/>
  <c r="G263" i="2" s="1"/>
  <c r="C264" i="2" s="1"/>
  <c r="G264" i="2" s="1"/>
  <c r="C265" i="2" s="1"/>
  <c r="G265" i="2" s="1"/>
  <c r="C266" i="2" s="1"/>
  <c r="G266" i="2" s="1"/>
  <c r="C267" i="2" s="1"/>
  <c r="G267" i="2" s="1"/>
  <c r="C268" i="2" s="1"/>
  <c r="G268" i="2" s="1"/>
  <c r="C269" i="2" s="1"/>
  <c r="G269" i="2" s="1"/>
  <c r="C270" i="2" s="1"/>
  <c r="G270" i="2" s="1"/>
  <c r="C271" i="2" s="1"/>
  <c r="G271" i="2" s="1"/>
  <c r="C272" i="2" s="1"/>
  <c r="G272" i="2" s="1"/>
  <c r="C273" i="2" s="1"/>
  <c r="G273" i="2" s="1"/>
  <c r="C274" i="2" s="1"/>
  <c r="G274" i="2" s="1"/>
  <c r="C275" i="2" s="1"/>
  <c r="G275" i="2" s="1"/>
  <c r="C276" i="2" s="1"/>
  <c r="G276" i="2" s="1"/>
  <c r="C277" i="2" s="1"/>
  <c r="G277" i="2" s="1"/>
  <c r="C278" i="2" s="1"/>
  <c r="G278" i="2" s="1"/>
  <c r="C279" i="2" s="1"/>
  <c r="G279" i="2" s="1"/>
  <c r="C280" i="2" s="1"/>
  <c r="G280" i="2" s="1"/>
  <c r="C281" i="2" s="1"/>
  <c r="G281" i="2" s="1"/>
  <c r="C282" i="2" s="1"/>
  <c r="G282" i="2" s="1"/>
  <c r="C283" i="2" s="1"/>
  <c r="G283" i="2" s="1"/>
  <c r="C284" i="2" s="1"/>
  <c r="G284" i="2" s="1"/>
  <c r="C285" i="2" s="1"/>
  <c r="G285" i="2" s="1"/>
  <c r="C286" i="2" s="1"/>
  <c r="G286" i="2" s="1"/>
  <c r="C287" i="2" s="1"/>
  <c r="G287" i="2" s="1"/>
  <c r="C288" i="2" s="1"/>
  <c r="G288" i="2" s="1"/>
  <c r="C289" i="2" s="1"/>
  <c r="G289" i="2" s="1"/>
  <c r="C290" i="2" s="1"/>
  <c r="G290" i="2" s="1"/>
  <c r="C291" i="2" s="1"/>
  <c r="G291" i="2" s="1"/>
  <c r="C292" i="2" s="1"/>
  <c r="G292" i="2" s="1"/>
  <c r="C293" i="2" s="1"/>
  <c r="G293" i="2" s="1"/>
  <c r="C294" i="2" s="1"/>
  <c r="G294" i="2" s="1"/>
  <c r="C295" i="2" s="1"/>
  <c r="G295" i="2" s="1"/>
  <c r="C296" i="2" s="1"/>
  <c r="G296" i="2" s="1"/>
  <c r="C297" i="2" s="1"/>
  <c r="G297" i="2" s="1"/>
  <c r="C298" i="2" s="1"/>
  <c r="G298" i="2" s="1"/>
  <c r="C299" i="2" s="1"/>
  <c r="G299" i="2" s="1"/>
  <c r="C300" i="2" s="1"/>
  <c r="G300" i="2" s="1"/>
  <c r="C301" i="2" s="1"/>
  <c r="G301" i="2" s="1"/>
  <c r="C302" i="2" s="1"/>
  <c r="G302" i="2" s="1"/>
  <c r="C303" i="2" s="1"/>
  <c r="G303" i="2" s="1"/>
  <c r="C304" i="2" s="1"/>
  <c r="G304" i="2" s="1"/>
  <c r="C305" i="2" s="1"/>
  <c r="G305" i="2" s="1"/>
  <c r="C306" i="2" s="1"/>
  <c r="G306" i="2" s="1"/>
  <c r="C307" i="2" s="1"/>
  <c r="G307" i="2" s="1"/>
  <c r="C308" i="2" s="1"/>
  <c r="G308" i="2" s="1"/>
  <c r="C309" i="2" s="1"/>
  <c r="G309" i="2" s="1"/>
  <c r="C310" i="2" s="1"/>
  <c r="G310" i="2" s="1"/>
  <c r="C311" i="2" s="1"/>
  <c r="G311" i="2" s="1"/>
  <c r="C312" i="2" s="1"/>
  <c r="G312" i="2" s="1"/>
  <c r="C313" i="2" s="1"/>
  <c r="G313" i="2" s="1"/>
  <c r="C314" i="2" s="1"/>
  <c r="G314" i="2" s="1"/>
  <c r="C315" i="2" s="1"/>
  <c r="G315" i="2" s="1"/>
  <c r="C316" i="2" s="1"/>
  <c r="G316" i="2" s="1"/>
  <c r="C317" i="2" s="1"/>
  <c r="G317" i="2" s="1"/>
  <c r="C318" i="2" s="1"/>
  <c r="G318" i="2" s="1"/>
  <c r="C319" i="2" s="1"/>
  <c r="G319" i="2" s="1"/>
  <c r="C320" i="2" s="1"/>
  <c r="G320" i="2" s="1"/>
  <c r="C321" i="2" s="1"/>
  <c r="G321" i="2" s="1"/>
  <c r="C322" i="2" s="1"/>
  <c r="G322" i="2" s="1"/>
  <c r="C323" i="2" s="1"/>
  <c r="G323" i="2" s="1"/>
  <c r="C324" i="2" s="1"/>
  <c r="G324" i="2" s="1"/>
  <c r="C325" i="2" s="1"/>
  <c r="G325" i="2" s="1"/>
  <c r="C326" i="2" s="1"/>
  <c r="G326" i="2" s="1"/>
  <c r="C327" i="2" s="1"/>
  <c r="G327" i="2" s="1"/>
  <c r="C328" i="2" s="1"/>
  <c r="G328" i="2" s="1"/>
  <c r="C329" i="2" s="1"/>
  <c r="G329" i="2" s="1"/>
  <c r="C330" i="2" s="1"/>
  <c r="G330" i="2" s="1"/>
  <c r="C331" i="2" s="1"/>
  <c r="G331" i="2" s="1"/>
  <c r="C332" i="2" s="1"/>
  <c r="G332" i="2" s="1"/>
  <c r="C333" i="2" s="1"/>
  <c r="G333" i="2" s="1"/>
  <c r="C334" i="2" s="1"/>
  <c r="G334" i="2" s="1"/>
  <c r="C335" i="2" s="1"/>
  <c r="G335" i="2" s="1"/>
  <c r="C336" i="2" s="1"/>
  <c r="G336" i="2" s="1"/>
  <c r="C337" i="2" s="1"/>
  <c r="G337" i="2" s="1"/>
  <c r="C338" i="2" s="1"/>
  <c r="G338" i="2" s="1"/>
  <c r="C339" i="2" s="1"/>
  <c r="G339" i="2" s="1"/>
  <c r="C340" i="2" s="1"/>
  <c r="G340" i="2" s="1"/>
  <c r="C341" i="2" s="1"/>
  <c r="G341" i="2" s="1"/>
  <c r="C342" i="2" s="1"/>
  <c r="G342" i="2" s="1"/>
  <c r="C343" i="2" s="1"/>
  <c r="G343" i="2" s="1"/>
  <c r="C344" i="2" s="1"/>
  <c r="G344" i="2" s="1"/>
  <c r="C345" i="2" s="1"/>
  <c r="G345" i="2" s="1"/>
  <c r="C346" i="2" s="1"/>
  <c r="G346" i="2" s="1"/>
  <c r="C347" i="2" s="1"/>
  <c r="G347" i="2" s="1"/>
  <c r="C348" i="2" s="1"/>
  <c r="G348" i="2" s="1"/>
  <c r="C349" i="2" s="1"/>
  <c r="G349" i="2" s="1"/>
  <c r="C350" i="2" s="1"/>
  <c r="G350" i="2" s="1"/>
  <c r="C351" i="2" s="1"/>
  <c r="G351" i="2" s="1"/>
  <c r="C352" i="2" s="1"/>
  <c r="G352" i="2" s="1"/>
  <c r="C353" i="2" s="1"/>
  <c r="G353" i="2" s="1"/>
  <c r="C354" i="2" s="1"/>
  <c r="G354" i="2" s="1"/>
  <c r="C355" i="2" s="1"/>
  <c r="G355" i="2" s="1"/>
  <c r="C356" i="2" s="1"/>
  <c r="G356" i="2" s="1"/>
  <c r="C357" i="2" s="1"/>
  <c r="G357" i="2" s="1"/>
  <c r="C358" i="2" s="1"/>
  <c r="G358" i="2" s="1"/>
  <c r="C359" i="2" s="1"/>
  <c r="G359" i="2" s="1"/>
  <c r="C360" i="2" s="1"/>
  <c r="G360" i="2" s="1"/>
  <c r="C361" i="2" s="1"/>
  <c r="G361" i="2" s="1"/>
  <c r="C362" i="2" s="1"/>
  <c r="G362" i="2" s="1"/>
  <c r="C363" i="2" s="1"/>
  <c r="G363" i="2" s="1"/>
  <c r="C364" i="2" s="1"/>
  <c r="G364" i="2" s="1"/>
  <c r="C365" i="2" s="1"/>
  <c r="G365" i="2" s="1"/>
  <c r="C366" i="2" s="1"/>
  <c r="G366" i="2" s="1"/>
  <c r="C367" i="2" s="1"/>
  <c r="G367" i="2" s="1"/>
  <c r="C368" i="2" s="1"/>
  <c r="G368" i="2" s="1"/>
  <c r="C369" i="2" s="1"/>
  <c r="G369" i="2" s="1"/>
  <c r="R2" i="2"/>
  <c r="M2" i="2"/>
  <c r="N3" i="2"/>
  <c r="Q2" i="2"/>
  <c r="N2" i="2"/>
  <c r="Q3" i="2"/>
  <c r="E34" i="1"/>
  <c r="Q29" i="1" s="1"/>
  <c r="Q30" i="1" s="1"/>
  <c r="L3" i="2"/>
  <c r="O2" i="2"/>
  <c r="P2" i="2"/>
  <c r="R3" i="2"/>
  <c r="K2" i="2"/>
  <c r="L2" i="2"/>
  <c r="D54" i="1"/>
  <c r="D56" i="1" s="1"/>
  <c r="D57" i="1" s="1"/>
  <c r="D58" i="1" s="1"/>
  <c r="M22" i="4" l="1"/>
  <c r="M44" i="4" s="1"/>
  <c r="M46" i="4" s="1"/>
  <c r="M49" i="4" s="1"/>
  <c r="L55" i="4"/>
  <c r="L56" i="4" s="1"/>
  <c r="L57" i="4" s="1"/>
  <c r="L44" i="4"/>
  <c r="L46" i="4" s="1"/>
  <c r="L49" i="4" s="1"/>
  <c r="N19" i="4"/>
  <c r="R57" i="1"/>
  <c r="O38" i="1"/>
  <c r="O42" i="1" s="1"/>
  <c r="O44" i="1" s="1"/>
  <c r="O41" i="4"/>
  <c r="N57" i="1"/>
  <c r="R38" i="1"/>
  <c r="R42" i="1" s="1"/>
  <c r="R44" i="1" s="1"/>
  <c r="R41" i="4"/>
  <c r="O57" i="1"/>
  <c r="N38" i="1"/>
  <c r="N42" i="1" s="1"/>
  <c r="N44" i="1" s="1"/>
  <c r="N41" i="4"/>
  <c r="M38" i="1"/>
  <c r="M42" i="1" s="1"/>
  <c r="M44" i="1" s="1"/>
  <c r="M41" i="4"/>
  <c r="S38" i="1"/>
  <c r="S42" i="1" s="1"/>
  <c r="S44" i="1" s="1"/>
  <c r="S41" i="4"/>
  <c r="Q57" i="1"/>
  <c r="Q38" i="1"/>
  <c r="Q42" i="1" s="1"/>
  <c r="Q44" i="1" s="1"/>
  <c r="Q41" i="4"/>
  <c r="M57" i="1"/>
  <c r="M58" i="1" s="1"/>
  <c r="L38" i="1"/>
  <c r="L42" i="1" s="1"/>
  <c r="L44" i="1" s="1"/>
  <c r="L45" i="4"/>
  <c r="L47" i="4" s="1"/>
  <c r="S30" i="4"/>
  <c r="P30" i="4"/>
  <c r="L30" i="4"/>
  <c r="R30" i="4"/>
  <c r="M30" i="4"/>
  <c r="N30" i="4"/>
  <c r="O30" i="4"/>
  <c r="Q30" i="4"/>
  <c r="P33" i="4"/>
  <c r="P38" i="1"/>
  <c r="P42" i="1" s="1"/>
  <c r="P44" i="1" s="1"/>
  <c r="P41" i="4"/>
  <c r="L57" i="1"/>
  <c r="L58" i="1"/>
  <c r="L65" i="1" s="1"/>
  <c r="L24" i="1"/>
  <c r="M24" i="1"/>
  <c r="N24" i="1"/>
  <c r="S24" i="1"/>
  <c r="O58" i="1"/>
  <c r="R56" i="1"/>
  <c r="R61" i="1" s="1"/>
  <c r="R62" i="1" s="1"/>
  <c r="R63" i="1" s="1"/>
  <c r="R64" i="1" s="1"/>
  <c r="N56" i="1"/>
  <c r="N61" i="1" s="1"/>
  <c r="N62" i="1" s="1"/>
  <c r="N63" i="1" s="1"/>
  <c r="N64" i="1" s="1"/>
  <c r="M56" i="1"/>
  <c r="M61" i="1" s="1"/>
  <c r="M62" i="1" s="1"/>
  <c r="M63" i="1" s="1"/>
  <c r="M64" i="1" s="1"/>
  <c r="O56" i="1"/>
  <c r="O61" i="1" s="1"/>
  <c r="O62" i="1" s="1"/>
  <c r="O63" i="1" s="1"/>
  <c r="R58" i="1"/>
  <c r="P56" i="1"/>
  <c r="P61" i="1" s="1"/>
  <c r="P62" i="1" s="1"/>
  <c r="P63" i="1" s="1"/>
  <c r="P64" i="1" s="1"/>
  <c r="P68" i="1" s="1"/>
  <c r="J69" i="1" s="1"/>
  <c r="Q56" i="1"/>
  <c r="Q61" i="1" s="1"/>
  <c r="Q62" i="1" s="1"/>
  <c r="Q63" i="1" s="1"/>
  <c r="Q64" i="1" s="1"/>
  <c r="Q58" i="1"/>
  <c r="N58" i="1"/>
  <c r="P32" i="1"/>
  <c r="P57" i="1"/>
  <c r="Q47" i="1"/>
  <c r="Q24" i="1"/>
  <c r="R24" i="1"/>
  <c r="P24" i="1"/>
  <c r="P25" i="1" s="1"/>
  <c r="O24" i="1"/>
  <c r="R29" i="1"/>
  <c r="R30" i="1" s="1"/>
  <c r="R47" i="1" s="1"/>
  <c r="S29" i="1"/>
  <c r="S30" i="1" s="1"/>
  <c r="O29" i="1"/>
  <c r="O30" i="1" s="1"/>
  <c r="L29" i="1"/>
  <c r="L30" i="1" s="1"/>
  <c r="M29" i="1"/>
  <c r="M30" i="1" s="1"/>
  <c r="P29" i="1"/>
  <c r="P30" i="1" s="1"/>
  <c r="N29" i="1"/>
  <c r="N30" i="1" s="1"/>
  <c r="M45" i="4" l="1"/>
  <c r="M47" i="4" s="1"/>
  <c r="N22" i="4"/>
  <c r="M55" i="4" s="1"/>
  <c r="M56" i="4" s="1"/>
  <c r="M57" i="4" s="1"/>
  <c r="M61" i="4"/>
  <c r="M59" i="4"/>
  <c r="M64" i="4" s="1"/>
  <c r="M65" i="4" s="1"/>
  <c r="M66" i="4" s="1"/>
  <c r="M68" i="4" s="1"/>
  <c r="L59" i="4"/>
  <c r="L64" i="4" s="1"/>
  <c r="L65" i="4" s="1"/>
  <c r="L66" i="4" s="1"/>
  <c r="L67" i="4" s="1"/>
  <c r="L71" i="4" s="1"/>
  <c r="L61" i="4"/>
  <c r="D27" i="4"/>
  <c r="P58" i="4"/>
  <c r="O19" i="4"/>
  <c r="M31" i="4"/>
  <c r="M37" i="4"/>
  <c r="L31" i="4"/>
  <c r="L37" i="4"/>
  <c r="R25" i="1"/>
  <c r="R34" i="1"/>
  <c r="P47" i="1"/>
  <c r="O47" i="1"/>
  <c r="O71" i="1" s="1"/>
  <c r="O25" i="1"/>
  <c r="O34" i="1"/>
  <c r="Q25" i="1"/>
  <c r="Q34" i="1"/>
  <c r="P34" i="1"/>
  <c r="N25" i="1"/>
  <c r="N34" i="1"/>
  <c r="M25" i="1"/>
  <c r="M34" i="1"/>
  <c r="L25" i="1"/>
  <c r="L34" i="1"/>
  <c r="O65" i="1"/>
  <c r="N65" i="1"/>
  <c r="M65" i="1"/>
  <c r="Q65" i="1"/>
  <c r="R65" i="1"/>
  <c r="O64" i="1"/>
  <c r="P58" i="1"/>
  <c r="P65" i="1" s="1"/>
  <c r="P71" i="1" s="1"/>
  <c r="M47" i="1"/>
  <c r="M71" i="1" s="1"/>
  <c r="L47" i="1"/>
  <c r="L71" i="1" s="1"/>
  <c r="S47" i="1"/>
  <c r="N47" i="1"/>
  <c r="N71" i="1" s="1"/>
  <c r="N37" i="4" l="1"/>
  <c r="N31" i="4"/>
  <c r="N44" i="4"/>
  <c r="N46" i="4" s="1"/>
  <c r="N49" i="4" s="1"/>
  <c r="N45" i="4"/>
  <c r="N47" i="4" s="1"/>
  <c r="O22" i="4"/>
  <c r="O38" i="4" s="1"/>
  <c r="M67" i="4"/>
  <c r="M71" i="4" s="1"/>
  <c r="L68" i="4"/>
  <c r="D21" i="4"/>
  <c r="K53" i="4"/>
  <c r="K71" i="4" s="1"/>
  <c r="L74" i="4" s="1"/>
  <c r="K26" i="4"/>
  <c r="P19" i="4"/>
  <c r="P22" i="4" s="1"/>
  <c r="O55" i="4" s="1"/>
  <c r="O56" i="4" s="1"/>
  <c r="O57" i="4" s="1"/>
  <c r="M50" i="4"/>
  <c r="M76" i="4" s="1"/>
  <c r="L50" i="4"/>
  <c r="L76" i="4" s="1"/>
  <c r="J72" i="1"/>
  <c r="J35" i="1"/>
  <c r="O45" i="4" l="1"/>
  <c r="O47" i="4" s="1"/>
  <c r="N55" i="4"/>
  <c r="N56" i="4" s="1"/>
  <c r="N57" i="4" s="1"/>
  <c r="O37" i="4"/>
  <c r="O44" i="4"/>
  <c r="O46" i="4" s="1"/>
  <c r="O49" i="4" s="1"/>
  <c r="N50" i="4"/>
  <c r="O31" i="4"/>
  <c r="O61" i="4"/>
  <c r="O59" i="4"/>
  <c r="O64" i="4" s="1"/>
  <c r="O65" i="4" s="1"/>
  <c r="O66" i="4" s="1"/>
  <c r="O67" i="4" s="1"/>
  <c r="E20" i="4"/>
  <c r="D22" i="4"/>
  <c r="F20" i="4" s="1"/>
  <c r="D55" i="4"/>
  <c r="L38" i="4"/>
  <c r="M38" i="4"/>
  <c r="N38" i="4"/>
  <c r="K33" i="4"/>
  <c r="K35" i="4" s="1"/>
  <c r="E21" i="4"/>
  <c r="K54" i="4"/>
  <c r="K76" i="4" s="1"/>
  <c r="L79" i="4" s="1"/>
  <c r="L80" i="4" s="1"/>
  <c r="M74" i="4"/>
  <c r="P38" i="4"/>
  <c r="P44" i="4"/>
  <c r="P46" i="4" s="1"/>
  <c r="P49" i="4" s="1"/>
  <c r="P31" i="4"/>
  <c r="P37" i="4"/>
  <c r="P45" i="4"/>
  <c r="P47" i="4" s="1"/>
  <c r="Q19" i="4"/>
  <c r="Q22" i="4" s="1"/>
  <c r="J26" i="1"/>
  <c r="O50" i="4" l="1"/>
  <c r="N61" i="4"/>
  <c r="N59" i="4"/>
  <c r="N64" i="4" s="1"/>
  <c r="N65" i="4" s="1"/>
  <c r="N66" i="4" s="1"/>
  <c r="N68" i="4" s="1"/>
  <c r="N76" i="4" s="1"/>
  <c r="N79" i="4" s="1"/>
  <c r="N80" i="4" s="1"/>
  <c r="O71" i="4"/>
  <c r="O74" i="4" s="1"/>
  <c r="O68" i="4"/>
  <c r="P23" i="4"/>
  <c r="F21" i="4"/>
  <c r="E14" i="4"/>
  <c r="L23" i="4"/>
  <c r="M23" i="4"/>
  <c r="N23" i="4"/>
  <c r="O23" i="4"/>
  <c r="E22" i="4"/>
  <c r="M79" i="4"/>
  <c r="M80" i="4" s="1"/>
  <c r="S19" i="4"/>
  <c r="S22" i="4" s="1"/>
  <c r="R55" i="4" s="1"/>
  <c r="R56" i="4" s="1"/>
  <c r="R57" i="4" s="1"/>
  <c r="R19" i="4"/>
  <c r="R22" i="4" s="1"/>
  <c r="P50" i="4"/>
  <c r="Q38" i="4"/>
  <c r="Q23" i="4"/>
  <c r="Q44" i="4"/>
  <c r="Q46" i="4" s="1"/>
  <c r="Q49" i="4" s="1"/>
  <c r="P55" i="4"/>
  <c r="P56" i="4" s="1"/>
  <c r="P57" i="4" s="1"/>
  <c r="Q31" i="4"/>
  <c r="Q37" i="4"/>
  <c r="Q45" i="4"/>
  <c r="Q47" i="4" s="1"/>
  <c r="N67" i="4" l="1"/>
  <c r="N71" i="4" s="1"/>
  <c r="N74" i="4" s="1"/>
  <c r="R59" i="4"/>
  <c r="R64" i="4" s="1"/>
  <c r="R65" i="4" s="1"/>
  <c r="R66" i="4" s="1"/>
  <c r="R61" i="4"/>
  <c r="D56" i="4"/>
  <c r="D58" i="4" s="1"/>
  <c r="D59" i="4" s="1"/>
  <c r="D60" i="4" s="1"/>
  <c r="R25" i="4" s="1"/>
  <c r="O76" i="4"/>
  <c r="O79" i="4" s="1"/>
  <c r="O80" i="4" s="1"/>
  <c r="M25" i="4"/>
  <c r="M26" i="4" s="1"/>
  <c r="O25" i="4"/>
  <c r="O26" i="4" s="1"/>
  <c r="L25" i="4"/>
  <c r="Q55" i="4"/>
  <c r="Q56" i="4" s="1"/>
  <c r="Q57" i="4" s="1"/>
  <c r="R44" i="4"/>
  <c r="R46" i="4" s="1"/>
  <c r="R49" i="4" s="1"/>
  <c r="R23" i="4"/>
  <c r="R38" i="4"/>
  <c r="R45" i="4"/>
  <c r="R47" i="4" s="1"/>
  <c r="R31" i="4"/>
  <c r="R37" i="4"/>
  <c r="Q50" i="4"/>
  <c r="P61" i="4"/>
  <c r="P59" i="4"/>
  <c r="P64" i="4" s="1"/>
  <c r="P65" i="4" s="1"/>
  <c r="P66" i="4" s="1"/>
  <c r="S23" i="4"/>
  <c r="S38" i="4"/>
  <c r="S44" i="4"/>
  <c r="S46" i="4" s="1"/>
  <c r="S49" i="4" s="1"/>
  <c r="S45" i="4"/>
  <c r="S47" i="4" s="1"/>
  <c r="S37" i="4"/>
  <c r="S31" i="4"/>
  <c r="N25" i="4" l="1"/>
  <c r="P25" i="4"/>
  <c r="P26" i="4" s="1"/>
  <c r="Q25" i="4"/>
  <c r="R67" i="4"/>
  <c r="R71" i="4" s="1"/>
  <c r="R74" i="4" s="1"/>
  <c r="R68" i="4"/>
  <c r="R26" i="4"/>
  <c r="R35" i="4"/>
  <c r="M35" i="4"/>
  <c r="N26" i="4"/>
  <c r="N35" i="4"/>
  <c r="O35" i="4"/>
  <c r="L26" i="4"/>
  <c r="L35" i="4"/>
  <c r="Q61" i="4"/>
  <c r="Q59" i="4"/>
  <c r="Q64" i="4" s="1"/>
  <c r="Q65" i="4" s="1"/>
  <c r="Q66" i="4" s="1"/>
  <c r="Q67" i="4" s="1"/>
  <c r="Q71" i="4" s="1"/>
  <c r="Q26" i="4"/>
  <c r="Q35" i="4"/>
  <c r="R50" i="4"/>
  <c r="R76" i="4" s="1"/>
  <c r="R79" i="4" s="1"/>
  <c r="S50" i="4"/>
  <c r="P67" i="4"/>
  <c r="P71" i="4" s="1"/>
  <c r="P68" i="4"/>
  <c r="P76" i="4" s="1"/>
  <c r="P35" i="4" l="1"/>
  <c r="D79" i="4"/>
  <c r="D78" i="4"/>
  <c r="Q74" i="4"/>
  <c r="D76" i="4"/>
  <c r="J27" i="4"/>
  <c r="J36" i="4"/>
  <c r="Q68" i="4"/>
  <c r="Q76" i="4" s="1"/>
  <c r="Q79" i="4" s="1"/>
  <c r="P79" i="4"/>
  <c r="P80" i="4" s="1"/>
  <c r="P74" i="4"/>
  <c r="J72" i="4"/>
  <c r="J73" i="4"/>
  <c r="D75" i="4" l="1"/>
  <c r="J77" i="4"/>
  <c r="B134" i="4" s="1"/>
  <c r="J78" i="4"/>
  <c r="B106" i="4" s="1"/>
  <c r="B90" i="4" l="1"/>
  <c r="B1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tc={D8E0426F-D24B-4CED-BD9A-2428C539392F}</author>
  </authors>
  <commentList>
    <comment ref="C44" authorId="0" shapeId="0" xr:uid="{D8E0426F-D24B-4CED-BD9A-2428C539392F}">
      <text>
        <t>[Threaded comment]
Your version of Excel allows you to read this threaded comment; however, any edits to it will get removed if the file is opened in a newer version of Excel. Learn more: https://go.microsoft.com/fwlink/?linkid=870924
Comment:
    Leave as 0 if no fees are expected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tc={95C7DFE4-967A-4D7C-BD3C-DFCCAF1009D8}</author>
  </authors>
  <commentList>
    <comment ref="C42" authorId="0" shapeId="0" xr:uid="{95C7DFE4-967A-4D7C-BD3C-DFCCAF1009D8}">
      <text>
        <t>[Threaded comment]
Your version of Excel allows you to read this threaded comment; however, any edits to it will get removed if the file is opened in a newer version of Excel. Learn more: https://go.microsoft.com/fwlink/?linkid=870924
Comment:
    Leave as 0 if no fees are expected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A8DA91-F8CC-42F0-BC19-0A2712D92879}" keepAlive="1" name="Query - Table008 (Page 12)" description="Connection to the 'Table008 (Page 12)' query in the workbook." type="5" refreshedVersion="0" background="1" saveData="1">
    <dbPr connection="Provider=Microsoft.Mashup.OleDb.1;Data Source=$Workbook$;Location=&quot;Table008 (Page 12)&quot;;Extended Properties=&quot;&quot;" command="SELECT * FROM [Table008 (Page 12)]"/>
  </connection>
</connections>
</file>

<file path=xl/sharedStrings.xml><?xml version="1.0" encoding="utf-8"?>
<sst xmlns="http://schemas.openxmlformats.org/spreadsheetml/2006/main" count="399" uniqueCount="225">
  <si>
    <t>Sources and Uses</t>
  </si>
  <si>
    <t xml:space="preserve">Debt Assumptions </t>
  </si>
  <si>
    <t>Proceeds</t>
  </si>
  <si>
    <t>LTV</t>
  </si>
  <si>
    <t xml:space="preserve">Interest Expense </t>
  </si>
  <si>
    <t>Loan</t>
  </si>
  <si>
    <t>Loan Balance</t>
  </si>
  <si>
    <t>Interest</t>
  </si>
  <si>
    <t xml:space="preserve">Amort Years </t>
  </si>
  <si>
    <t>Term</t>
  </si>
  <si>
    <t>Monthly Payment</t>
  </si>
  <si>
    <t>Year</t>
  </si>
  <si>
    <t>Period</t>
  </si>
  <si>
    <t>Beginning Balance</t>
  </si>
  <si>
    <t>Payment</t>
  </si>
  <si>
    <t xml:space="preserve">Interest </t>
  </si>
  <si>
    <t>Principal</t>
  </si>
  <si>
    <t>Ending Balance</t>
  </si>
  <si>
    <t>Property Specs</t>
  </si>
  <si>
    <t>Acreage</t>
  </si>
  <si>
    <t>acre</t>
  </si>
  <si>
    <t>Property Size</t>
  </si>
  <si>
    <t>sqft</t>
  </si>
  <si>
    <t>Land Value</t>
  </si>
  <si>
    <t>$</t>
  </si>
  <si>
    <t>Improvement Value</t>
  </si>
  <si>
    <t>Building Size</t>
  </si>
  <si>
    <t xml:space="preserve">sqft </t>
  </si>
  <si>
    <t>Replacement Cost</t>
  </si>
  <si>
    <t>$/psf</t>
  </si>
  <si>
    <t>Total</t>
  </si>
  <si>
    <t xml:space="preserve">Depreciation </t>
  </si>
  <si>
    <t>Years</t>
  </si>
  <si>
    <t>Annual</t>
  </si>
  <si>
    <t xml:space="preserve">Sources </t>
  </si>
  <si>
    <t>Debt</t>
  </si>
  <si>
    <t>Equity</t>
  </si>
  <si>
    <t>Uses</t>
  </si>
  <si>
    <t>Purchase Price</t>
  </si>
  <si>
    <t>Purchase Fees</t>
  </si>
  <si>
    <t>$/SF</t>
  </si>
  <si>
    <t>%</t>
  </si>
  <si>
    <t>Debt Yield</t>
  </si>
  <si>
    <t>Interest Rate</t>
  </si>
  <si>
    <t>Loan Term</t>
  </si>
  <si>
    <t>Loan Amortization</t>
  </si>
  <si>
    <t xml:space="preserve">Sale Assumption </t>
  </si>
  <si>
    <t>Year of Sale</t>
  </si>
  <si>
    <t>NOI</t>
  </si>
  <si>
    <t xml:space="preserve">Exit Cap </t>
  </si>
  <si>
    <t>Tax</t>
  </si>
  <si>
    <t>Income Tax Rate</t>
  </si>
  <si>
    <t>Depreciation Tax Rate</t>
  </si>
  <si>
    <t>Appreciation Tax Rate</t>
  </si>
  <si>
    <t>Sale Price</t>
  </si>
  <si>
    <t>Net Sale Price</t>
  </si>
  <si>
    <t>Taxable Gain on Sale</t>
  </si>
  <si>
    <t>Gain to Depreciation</t>
  </si>
  <si>
    <t>Tax on Depreciation</t>
  </si>
  <si>
    <t>Gain to Appreciation</t>
  </si>
  <si>
    <t>Tax on Appreciation</t>
  </si>
  <si>
    <t>Total Tax Due</t>
  </si>
  <si>
    <t>Closing</t>
  </si>
  <si>
    <t>Operating Assumptions</t>
  </si>
  <si>
    <t>Base Rent</t>
  </si>
  <si>
    <t>Expense Reimbursement</t>
  </si>
  <si>
    <t>Gross Revenue</t>
  </si>
  <si>
    <t>Expense Escalation</t>
  </si>
  <si>
    <t xml:space="preserve">Vacancy Rate </t>
  </si>
  <si>
    <t>Vacancy</t>
  </si>
  <si>
    <t xml:space="preserve">Effective Gross Income </t>
  </si>
  <si>
    <t>General Opex</t>
  </si>
  <si>
    <t>RE Taxes</t>
  </si>
  <si>
    <t>Insurnace</t>
  </si>
  <si>
    <t xml:space="preserve">Property Management </t>
  </si>
  <si>
    <t>Structural Reserve</t>
  </si>
  <si>
    <t>Total Expenses</t>
  </si>
  <si>
    <t>Debt Service</t>
  </si>
  <si>
    <t>Annual Loan Payment</t>
  </si>
  <si>
    <t>Cash Flow After Financing</t>
  </si>
  <si>
    <t>Interest Write Off</t>
  </si>
  <si>
    <t>Debt Calculations</t>
  </si>
  <si>
    <t>Depreciation</t>
  </si>
  <si>
    <t>IRR</t>
  </si>
  <si>
    <t>Sale Fee</t>
  </si>
  <si>
    <t>Equity and Loan Balance</t>
  </si>
  <si>
    <t>Net Sales Price</t>
  </si>
  <si>
    <t>Taxes</t>
  </si>
  <si>
    <t xml:space="preserve"> PreTax Unlev Project CF</t>
  </si>
  <si>
    <t>PreTax Lev Project CF</t>
  </si>
  <si>
    <t>Taxable Income</t>
  </si>
  <si>
    <t>(levered)</t>
  </si>
  <si>
    <t>Sale Tax Calculations</t>
  </si>
  <si>
    <t>Purchase</t>
  </si>
  <si>
    <t>Sales Expense</t>
  </si>
  <si>
    <t>Book Value</t>
  </si>
  <si>
    <t>Before Tax Residual</t>
  </si>
  <si>
    <t>Sales Price</t>
  </si>
  <si>
    <t>Leveraged After Tax Cash Flow</t>
  </si>
  <si>
    <t>UnLeveraged After Tax Cash Flow</t>
  </si>
  <si>
    <t>Taxable Income (Unlevered)</t>
  </si>
  <si>
    <t>Income Tax (Levered)</t>
  </si>
  <si>
    <t>Income Tax (Unlevered)</t>
  </si>
  <si>
    <t>Cash Flow After Taxes (Levered)</t>
  </si>
  <si>
    <t>Cash Flow After Taxes (Unlevered)</t>
  </si>
  <si>
    <t xml:space="preserve">Leveraged Net Cash on Sale </t>
  </si>
  <si>
    <t>Unleveraged Net Cash on Sale</t>
  </si>
  <si>
    <t>Return Metrics</t>
  </si>
  <si>
    <t>Rent Comparables</t>
  </si>
  <si>
    <t>Type of Space</t>
  </si>
  <si>
    <t>Warehouse / Distribution Space</t>
  </si>
  <si>
    <t>Research and Development Flex Space</t>
  </si>
  <si>
    <t>Manufacturing Space</t>
  </si>
  <si>
    <t>Rent</t>
  </si>
  <si>
    <t>In Area Market Rent</t>
  </si>
  <si>
    <t>Competitive Property Information</t>
  </si>
  <si>
    <t xml:space="preserve">Building </t>
  </si>
  <si>
    <t xml:space="preserve">Total Sqft </t>
  </si>
  <si>
    <t xml:space="preserve">% Occupied </t>
  </si>
  <si>
    <t>Avg Base Rent</t>
  </si>
  <si>
    <t>Wght Avg (sqft)</t>
  </si>
  <si>
    <t>Wght Avg (Occupancy)</t>
  </si>
  <si>
    <t>Year 6+ PSF Rent</t>
  </si>
  <si>
    <t>Year 1-5 PSF Rent</t>
  </si>
  <si>
    <t>Ann.% Increase</t>
  </si>
  <si>
    <t>65 Bonnie Road, Somerset NJ</t>
  </si>
  <si>
    <t>Leasing Expenses</t>
  </si>
  <si>
    <t>Leasing Commission</t>
  </si>
  <si>
    <t>Tenant Improvements</t>
  </si>
  <si>
    <t>Fee</t>
  </si>
  <si>
    <t>Tenant Improvement</t>
  </si>
  <si>
    <t>Total Sqft</t>
  </si>
  <si>
    <t>Cost</t>
  </si>
  <si>
    <t>Total SF</t>
  </si>
  <si>
    <t>Rate PSF</t>
  </si>
  <si>
    <t>Turnover Expenses</t>
  </si>
  <si>
    <t>Tenant</t>
  </si>
  <si>
    <t>Hopkinson Logistics</t>
  </si>
  <si>
    <t>Thaler Industries</t>
  </si>
  <si>
    <t>Malcom, Grahm, &amp; Rue</t>
  </si>
  <si>
    <t>Comparable Leases Chart</t>
  </si>
  <si>
    <t>Date</t>
  </si>
  <si>
    <t>Address</t>
  </si>
  <si>
    <t>Leased
Area (SF)</t>
  </si>
  <si>
    <t>Term
(Yrs)</t>
  </si>
  <si>
    <t>Comments</t>
  </si>
  <si>
    <t>Denby USA</t>
  </si>
  <si>
    <t>65 Clyde Road
Somerset, NJ</t>
  </si>
  <si>
    <t>Renewal</t>
  </si>
  <si>
    <t>Seine Tech</t>
  </si>
  <si>
    <t>3 months free rent</t>
  </si>
  <si>
    <t>Promotion in
Motion</t>
  </si>
  <si>
    <t>1600 Cottontail Lane
Franklin Township, NJ</t>
  </si>
  <si>
    <t>7 months free rent</t>
  </si>
  <si>
    <t>Bunge Amorphic
Solutions</t>
  </si>
  <si>
    <t>2 months free rent</t>
  </si>
  <si>
    <t>Hydratight
Operations</t>
  </si>
  <si>
    <t>12 Worlds Fair Drive
Somerset, NJ</t>
  </si>
  <si>
    <t>4 months free rent;
18’ clear height</t>
  </si>
  <si>
    <t>Pinestar
Technology</t>
  </si>
  <si>
    <t>400 Apgar Drive
Somerset, NJ</t>
  </si>
  <si>
    <t>Renewal; 6 months
free rent</t>
  </si>
  <si>
    <t>Prolong
Pharmaceuticals</t>
  </si>
  <si>
    <t>300 Corporate Court
South Plainfield, NJ</t>
  </si>
  <si>
    <t>Flex building; 18’
clear height</t>
  </si>
  <si>
    <t>Libotani</t>
  </si>
  <si>
    <t>625 Pierce Street
Somerset, NJ</t>
  </si>
  <si>
    <t>13% office build-out; 26’ clear height</t>
  </si>
  <si>
    <t>Access Bio</t>
  </si>
  <si>
    <t>4 months free rent</t>
  </si>
  <si>
    <t>Akorn</t>
  </si>
  <si>
    <t>72 Veronica Avenue
Franklin Township, NJ</t>
  </si>
  <si>
    <t>Renewal; 22’ clear
height</t>
  </si>
  <si>
    <t>A Teameffort
Design</t>
  </si>
  <si>
    <t>Specified
Technologies</t>
  </si>
  <si>
    <t>210 Evans Way
Branchburg, NJ</t>
  </si>
  <si>
    <t>22’ clear height</t>
  </si>
  <si>
    <t>CPI</t>
  </si>
  <si>
    <t>Warehouse</t>
  </si>
  <si>
    <t>Office</t>
  </si>
  <si>
    <t>PSF</t>
  </si>
  <si>
    <t xml:space="preserve">Market </t>
  </si>
  <si>
    <t>Sqft</t>
  </si>
  <si>
    <t>Revenue</t>
  </si>
  <si>
    <t>Increase</t>
  </si>
  <si>
    <t>Years in Place</t>
  </si>
  <si>
    <t>5 Year, compounding 3%, new rent</t>
  </si>
  <si>
    <t xml:space="preserve">Rent Comps PSF </t>
  </si>
  <si>
    <t>DSCR</t>
  </si>
  <si>
    <t>Equity Multiple</t>
  </si>
  <si>
    <t>Income Yield</t>
  </si>
  <si>
    <t>Cash on Cash</t>
  </si>
  <si>
    <t>Projected</t>
  </si>
  <si>
    <t>Proj. Rev</t>
  </si>
  <si>
    <t>Discount to Replacement</t>
  </si>
  <si>
    <t>New Rent</t>
  </si>
  <si>
    <t>Size (SF)</t>
  </si>
  <si>
    <t>Unleveraged After Tax Cash Flow</t>
  </si>
  <si>
    <t xml:space="preserve">Dynamic, Enter Year </t>
  </si>
  <si>
    <t>Starting Rent</t>
  </si>
  <si>
    <t>Property Mgt Fee</t>
  </si>
  <si>
    <t>Return Metrics - Cash Flow After Taxes</t>
  </si>
  <si>
    <t>Market Rent Expectations - New, 2021 Lease</t>
  </si>
  <si>
    <t>T12</t>
  </si>
  <si>
    <t>T12 Cap</t>
  </si>
  <si>
    <t>Year 1 NOI</t>
  </si>
  <si>
    <t>Exit Cap Rate</t>
  </si>
  <si>
    <t>Renewed Rent (whole) Price in Year 6</t>
  </si>
  <si>
    <t>Sensitivty Tables - All Using Leveraged Return Metrics</t>
  </si>
  <si>
    <t>Discount Rate</t>
  </si>
  <si>
    <t>Before Tax NPV Lev</t>
  </si>
  <si>
    <t>Before Tax NPV Unlev</t>
  </si>
  <si>
    <t xml:space="preserve">After Tax NPV Levered </t>
  </si>
  <si>
    <t xml:space="preserve">After Tax NPV Unlevered </t>
  </si>
  <si>
    <t>`</t>
  </si>
  <si>
    <t>Insurance</t>
  </si>
  <si>
    <t>Investment Simulator</t>
  </si>
  <si>
    <t xml:space="preserve">Tenant </t>
  </si>
  <si>
    <t xml:space="preserve">Sqft </t>
  </si>
  <si>
    <t>Current</t>
  </si>
  <si>
    <t>3% Annual</t>
  </si>
  <si>
    <t>Market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</si>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</sst>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8"/>
      <name val="Arial"/>
      <family val="2"/>
    </font>
    <font>
      <b/>
      <sz val="10"/>
      <color theme="8"/>
      <name val="Arial"/>
      <family val="2"/>
    </font>
    <font>
      <i/>
      <sz val="10"/>
      <color theme="8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1" applyNumberFormat="0" applyFill="0" applyAlignment="0" applyProtection="0"/>
  </cellStyleXfs>
  <cellXfs count="183">
    <xf numFmtId="0" fontId="0" fillId="0" borderId="0" xfId="0"/>
    <xf numFmtId="6" fontId="0" fillId="0" borderId="0" xfId="0" applyNumberFormat="1"/>
    <xf numFmtId="8" fontId="0" fillId="0" borderId="0" xfId="0" applyNumberFormat="1"/>
    <xf numFmtId="0" fontId="1" fillId="0" borderId="0" xfId="0" applyFont="1"/>
    <xf numFmtId="0" fontId="0" fillId="2" borderId="0" xfId="0" applyFill="1"/>
    <xf numFmtId="6" fontId="0" fillId="2" borderId="0" xfId="0" applyNumberFormat="1" applyFill="1"/>
    <xf numFmtId="8" fontId="0" fillId="2" borderId="0" xfId="0" applyNumberFormat="1" applyFill="1"/>
    <xf numFmtId="8" fontId="0" fillId="3" borderId="0" xfId="0" applyNumberFormat="1" applyFill="1"/>
    <xf numFmtId="9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4" fillId="0" borderId="0" xfId="0" applyFont="1"/>
    <xf numFmtId="17" fontId="4" fillId="0" borderId="0" xfId="0" applyNumberFormat="1" applyFont="1"/>
    <xf numFmtId="0" fontId="5" fillId="4" borderId="0" xfId="0" applyFont="1" applyFill="1"/>
    <xf numFmtId="6" fontId="4" fillId="0" borderId="0" xfId="0" applyNumberFormat="1" applyFont="1"/>
    <xf numFmtId="3" fontId="4" fillId="0" borderId="0" xfId="0" applyNumberFormat="1" applyFont="1"/>
    <xf numFmtId="8" fontId="4" fillId="0" borderId="0" xfId="0" applyNumberFormat="1" applyFont="1"/>
    <xf numFmtId="9" fontId="4" fillId="0" borderId="0" xfId="0" applyNumberFormat="1" applyFont="1"/>
    <xf numFmtId="0" fontId="4" fillId="0" borderId="2" xfId="0" applyFont="1" applyBorder="1"/>
    <xf numFmtId="0" fontId="4" fillId="0" borderId="3" xfId="0" applyFont="1" applyBorder="1"/>
    <xf numFmtId="6" fontId="4" fillId="0" borderId="3" xfId="0" applyNumberFormat="1" applyFont="1" applyBorder="1"/>
    <xf numFmtId="6" fontId="4" fillId="0" borderId="4" xfId="0" applyNumberFormat="1" applyFont="1" applyBorder="1"/>
    <xf numFmtId="0" fontId="5" fillId="0" borderId="5" xfId="0" applyFont="1" applyBorder="1"/>
    <xf numFmtId="6" fontId="4" fillId="0" borderId="6" xfId="0" applyNumberFormat="1" applyFont="1" applyBorder="1"/>
    <xf numFmtId="0" fontId="4" fillId="0" borderId="7" xfId="0" applyFont="1" applyBorder="1"/>
    <xf numFmtId="0" fontId="5" fillId="0" borderId="8" xfId="0" applyFont="1" applyBorder="1"/>
    <xf numFmtId="9" fontId="5" fillId="0" borderId="8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6" xfId="0" applyFont="1" applyBorder="1"/>
    <xf numFmtId="6" fontId="4" fillId="0" borderId="8" xfId="0" applyNumberFormat="1" applyFont="1" applyBorder="1"/>
    <xf numFmtId="6" fontId="4" fillId="0" borderId="9" xfId="0" applyNumberFormat="1" applyFont="1" applyBorder="1"/>
    <xf numFmtId="0" fontId="5" fillId="0" borderId="0" xfId="0" applyFont="1"/>
    <xf numFmtId="10" fontId="5" fillId="0" borderId="0" xfId="0" applyNumberFormat="1" applyFont="1"/>
    <xf numFmtId="10" fontId="5" fillId="0" borderId="8" xfId="0" applyNumberFormat="1" applyFont="1" applyBorder="1"/>
    <xf numFmtId="9" fontId="5" fillId="0" borderId="0" xfId="0" applyNumberFormat="1" applyFont="1"/>
    <xf numFmtId="6" fontId="5" fillId="4" borderId="2" xfId="0" applyNumberFormat="1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5" fillId="4" borderId="2" xfId="0" applyFont="1" applyFill="1" applyBorder="1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3" fontId="4" fillId="0" borderId="6" xfId="0" applyNumberFormat="1" applyFont="1" applyBorder="1"/>
    <xf numFmtId="0" fontId="5" fillId="4" borderId="3" xfId="0" applyFont="1" applyFill="1" applyBorder="1"/>
    <xf numFmtId="0" fontId="5" fillId="0" borderId="5" xfId="0" applyFont="1" applyBorder="1" applyAlignment="1">
      <alignment horizontal="left" indent="1"/>
    </xf>
    <xf numFmtId="9" fontId="4" fillId="0" borderId="6" xfId="0" applyNumberFormat="1" applyFont="1" applyBorder="1"/>
    <xf numFmtId="9" fontId="4" fillId="0" borderId="8" xfId="0" applyNumberFormat="1" applyFont="1" applyBorder="1"/>
    <xf numFmtId="0" fontId="5" fillId="4" borderId="2" xfId="0" applyFont="1" applyFill="1" applyBorder="1" applyAlignment="1">
      <alignment horizontal="left" indent="1"/>
    </xf>
    <xf numFmtId="0" fontId="5" fillId="4" borderId="3" xfId="0" applyFont="1" applyFill="1" applyBorder="1" applyAlignment="1">
      <alignment horizontal="left" indent="1"/>
    </xf>
    <xf numFmtId="0" fontId="5" fillId="4" borderId="4" xfId="0" applyFont="1" applyFill="1" applyBorder="1"/>
    <xf numFmtId="0" fontId="6" fillId="0" borderId="5" xfId="0" applyFont="1" applyBorder="1"/>
    <xf numFmtId="0" fontId="6" fillId="0" borderId="7" xfId="0" applyFont="1" applyBorder="1"/>
    <xf numFmtId="6" fontId="5" fillId="0" borderId="0" xfId="0" applyNumberFormat="1" applyFont="1"/>
    <xf numFmtId="6" fontId="5" fillId="0" borderId="6" xfId="0" applyNumberFormat="1" applyFont="1" applyBorder="1"/>
    <xf numFmtId="0" fontId="1" fillId="0" borderId="10" xfId="3" applyBorder="1"/>
    <xf numFmtId="0" fontId="1" fillId="0" borderId="11" xfId="3" applyBorder="1"/>
    <xf numFmtId="6" fontId="1" fillId="0" borderId="11" xfId="3" applyNumberFormat="1" applyBorder="1"/>
    <xf numFmtId="0" fontId="5" fillId="0" borderId="0" xfId="0" applyFont="1" applyAlignment="1">
      <alignment horizontal="center"/>
    </xf>
    <xf numFmtId="1" fontId="4" fillId="0" borderId="0" xfId="1" applyNumberFormat="1" applyFont="1" applyAlignment="1">
      <alignment horizontal="center"/>
    </xf>
    <xf numFmtId="8" fontId="1" fillId="0" borderId="0" xfId="0" applyNumberFormat="1" applyFont="1"/>
    <xf numFmtId="8" fontId="0" fillId="0" borderId="6" xfId="0" applyNumberFormat="1" applyBorder="1"/>
    <xf numFmtId="3" fontId="0" fillId="0" borderId="8" xfId="0" applyNumberFormat="1" applyBorder="1"/>
    <xf numFmtId="9" fontId="0" fillId="0" borderId="8" xfId="0" applyNumberFormat="1" applyBorder="1"/>
    <xf numFmtId="8" fontId="0" fillId="0" borderId="9" xfId="0" applyNumberFormat="1" applyBorder="1"/>
    <xf numFmtId="8" fontId="4" fillId="0" borderId="6" xfId="0" applyNumberFormat="1" applyFont="1" applyBorder="1"/>
    <xf numFmtId="9" fontId="4" fillId="0" borderId="9" xfId="0" applyNumberFormat="1" applyFont="1" applyBorder="1"/>
    <xf numFmtId="4" fontId="4" fillId="0" borderId="6" xfId="0" applyNumberFormat="1" applyFont="1" applyBorder="1"/>
    <xf numFmtId="9" fontId="7" fillId="0" borderId="0" xfId="0" applyNumberFormat="1" applyFont="1"/>
    <xf numFmtId="0" fontId="7" fillId="0" borderId="0" xfId="0" applyFont="1"/>
    <xf numFmtId="3" fontId="7" fillId="0" borderId="0" xfId="0" applyNumberFormat="1" applyFont="1"/>
    <xf numFmtId="9" fontId="7" fillId="0" borderId="0" xfId="0" applyNumberFormat="1" applyFont="1" applyAlignment="1">
      <alignment horizontal="right"/>
    </xf>
    <xf numFmtId="9" fontId="7" fillId="0" borderId="6" xfId="0" applyNumberFormat="1" applyFont="1" applyBorder="1"/>
    <xf numFmtId="8" fontId="7" fillId="0" borderId="6" xfId="0" applyNumberFormat="1" applyFont="1" applyBorder="1"/>
    <xf numFmtId="6" fontId="7" fillId="0" borderId="0" xfId="0" applyNumberFormat="1" applyFont="1"/>
    <xf numFmtId="3" fontId="7" fillId="0" borderId="6" xfId="0" applyNumberFormat="1" applyFont="1" applyBorder="1"/>
    <xf numFmtId="164" fontId="7" fillId="0" borderId="6" xfId="2" applyNumberFormat="1" applyFont="1" applyFill="1" applyBorder="1"/>
    <xf numFmtId="0" fontId="7" fillId="0" borderId="6" xfId="0" applyFont="1" applyBorder="1"/>
    <xf numFmtId="6" fontId="7" fillId="0" borderId="6" xfId="0" applyNumberFormat="1" applyFont="1" applyBorder="1"/>
    <xf numFmtId="8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0" fontId="8" fillId="0" borderId="0" xfId="0" applyFont="1"/>
    <xf numFmtId="9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9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0" fillId="0" borderId="0" xfId="0" applyNumberFormat="1"/>
    <xf numFmtId="8" fontId="0" fillId="0" borderId="5" xfId="0" applyNumberFormat="1" applyBorder="1"/>
    <xf numFmtId="8" fontId="0" fillId="0" borderId="7" xfId="0" applyNumberFormat="1" applyBorder="1"/>
    <xf numFmtId="8" fontId="0" fillId="0" borderId="8" xfId="0" applyNumberFormat="1" applyBorder="1"/>
    <xf numFmtId="14" fontId="0" fillId="3" borderId="0" xfId="0" applyNumberFormat="1" applyFill="1"/>
    <xf numFmtId="0" fontId="0" fillId="3" borderId="0" xfId="0" applyFill="1"/>
    <xf numFmtId="3" fontId="0" fillId="3" borderId="0" xfId="0" applyNumberFormat="1" applyFill="1"/>
    <xf numFmtId="8" fontId="0" fillId="3" borderId="5" xfId="0" applyNumberFormat="1" applyFill="1" applyBorder="1"/>
    <xf numFmtId="8" fontId="0" fillId="3" borderId="6" xfId="0" applyNumberFormat="1" applyFill="1" applyBorder="1"/>
    <xf numFmtId="6" fontId="1" fillId="0" borderId="0" xfId="0" applyNumberFormat="1" applyFont="1"/>
    <xf numFmtId="4" fontId="5" fillId="0" borderId="0" xfId="0" applyNumberFormat="1" applyFont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6" xfId="0" applyNumberFormat="1" applyFont="1" applyBorder="1"/>
    <xf numFmtId="10" fontId="4" fillId="0" borderId="8" xfId="0" applyNumberFormat="1" applyFont="1" applyBorder="1"/>
    <xf numFmtId="10" fontId="4" fillId="0" borderId="9" xfId="0" applyNumberFormat="1" applyFont="1" applyBorder="1"/>
    <xf numFmtId="8" fontId="4" fillId="0" borderId="8" xfId="0" applyNumberFormat="1" applyFont="1" applyBorder="1"/>
    <xf numFmtId="3" fontId="4" fillId="0" borderId="8" xfId="0" applyNumberFormat="1" applyFont="1" applyBorder="1" applyAlignment="1">
      <alignment horizontal="center"/>
    </xf>
    <xf numFmtId="8" fontId="4" fillId="0" borderId="8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6" fontId="4" fillId="0" borderId="6" xfId="0" applyNumberFormat="1" applyFont="1" applyBorder="1" applyAlignment="1">
      <alignment horizontal="center"/>
    </xf>
    <xf numFmtId="6" fontId="4" fillId="0" borderId="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4" fillId="0" borderId="9" xfId="0" applyNumberFormat="1" applyFont="1" applyBorder="1"/>
    <xf numFmtId="10" fontId="4" fillId="0" borderId="0" xfId="0" applyNumberFormat="1" applyFont="1"/>
    <xf numFmtId="0" fontId="4" fillId="0" borderId="0" xfId="0" applyFont="1" applyAlignment="1">
      <alignment horizontal="right" vertical="center" textRotation="90"/>
    </xf>
    <xf numFmtId="8" fontId="5" fillId="0" borderId="8" xfId="0" applyNumberFormat="1" applyFont="1" applyBorder="1" applyAlignment="1">
      <alignment horizontal="center"/>
    </xf>
    <xf numFmtId="8" fontId="7" fillId="0" borderId="0" xfId="0" applyNumberFormat="1" applyFont="1" applyAlignment="1">
      <alignment horizontal="center"/>
    </xf>
    <xf numFmtId="8" fontId="7" fillId="0" borderId="8" xfId="0" applyNumberFormat="1" applyFont="1" applyBorder="1" applyAlignment="1">
      <alignment horizontal="center"/>
    </xf>
    <xf numFmtId="0" fontId="5" fillId="0" borderId="6" xfId="0" applyFont="1" applyBorder="1"/>
    <xf numFmtId="6" fontId="5" fillId="0" borderId="8" xfId="0" applyNumberFormat="1" applyFont="1" applyBorder="1"/>
    <xf numFmtId="0" fontId="5" fillId="0" borderId="9" xfId="0" applyFont="1" applyBorder="1"/>
    <xf numFmtId="0" fontId="5" fillId="0" borderId="7" xfId="0" applyFont="1" applyBorder="1" applyAlignment="1">
      <alignment horizontal="left" indent="1"/>
    </xf>
    <xf numFmtId="0" fontId="5" fillId="0" borderId="7" xfId="0" applyFont="1" applyBorder="1" applyAlignment="1">
      <alignment horizontal="center"/>
    </xf>
    <xf numFmtId="6" fontId="4" fillId="0" borderId="3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0" fillId="0" borderId="0" xfId="0" applyFont="1"/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9" fontId="4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9" fontId="4" fillId="0" borderId="9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6" fontId="5" fillId="0" borderId="0" xfId="0" applyNumberFormat="1" applyFont="1" applyAlignment="1">
      <alignment horizontal="center"/>
    </xf>
    <xf numFmtId="8" fontId="5" fillId="0" borderId="0" xfId="0" applyNumberFormat="1" applyFont="1"/>
    <xf numFmtId="8" fontId="5" fillId="0" borderId="0" xfId="0" applyNumberFormat="1" applyFont="1" applyAlignment="1">
      <alignment horizontal="center"/>
    </xf>
    <xf numFmtId="10" fontId="7" fillId="0" borderId="0" xfId="0" applyNumberFormat="1" applyFont="1"/>
    <xf numFmtId="0" fontId="5" fillId="0" borderId="7" xfId="0" applyFont="1" applyBorder="1"/>
    <xf numFmtId="4" fontId="4" fillId="0" borderId="0" xfId="0" applyNumberFormat="1" applyFont="1"/>
    <xf numFmtId="9" fontId="7" fillId="0" borderId="4" xfId="0" applyNumberFormat="1" applyFont="1" applyBorder="1"/>
    <xf numFmtId="0" fontId="5" fillId="0" borderId="2" xfId="0" applyFont="1" applyBorder="1"/>
    <xf numFmtId="6" fontId="4" fillId="0" borderId="0" xfId="0" applyNumberFormat="1" applyFont="1" applyAlignment="1">
      <alignment horizontal="center"/>
    </xf>
    <xf numFmtId="0" fontId="1" fillId="0" borderId="1" xfId="3"/>
    <xf numFmtId="6" fontId="1" fillId="0" borderId="1" xfId="3" applyNumberFormat="1" applyAlignment="1">
      <alignment horizontal="center"/>
    </xf>
    <xf numFmtId="6" fontId="1" fillId="0" borderId="1" xfId="3" applyNumberFormat="1"/>
    <xf numFmtId="0" fontId="5" fillId="3" borderId="0" xfId="0" applyFont="1" applyFill="1"/>
    <xf numFmtId="0" fontId="4" fillId="0" borderId="0" xfId="0" applyFont="1" applyAlignment="1">
      <alignment horizontal="right" vertical="center" textRotation="90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Total" xfId="3" builtinId="25"/>
  </cellStyles>
  <dxfs count="19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an Gillespie" id="{7311AE73-5651-4F5F-823C-97C04C425B30}" userId="ebeb381ea344dbb4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4" dT="2023-12-04T02:58:34.02" personId="{7311AE73-5651-4F5F-823C-97C04C425B30}" id="{D8E0426F-D24B-4CED-BD9A-2428C539392F}">
    <text>Leave as 0 if no fees are expected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2" dT="2023-12-04T02:58:34.02" personId="{7311AE73-5651-4F5F-823C-97C04C425B30}" id="{95C7DFE4-967A-4D7C-BD3C-DFCCAF1009D8}">
    <text>Leave as 0 if no fees are expected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483F-D758-4985-A5BA-366F78A342BD}">
  <dimension ref="A1:X147"/>
  <sheetViews>
    <sheetView showGridLines="0" tabSelected="1" zoomScale="85" zoomScaleNormal="85" workbookViewId="0">
      <pane xSplit="10" ySplit="3" topLeftCell="K4" activePane="bottomRight" state="frozen"/>
      <selection pane="topRight" activeCell="K1" sqref="K1"/>
      <selection pane="bottomLeft" activeCell="A3" sqref="A3"/>
      <selection pane="bottomRight" activeCell="D55" sqref="D55"/>
    </sheetView>
  </sheetViews>
  <sheetFormatPr defaultRowHeight="12.75" x14ac:dyDescent="0.2"/>
  <cols>
    <col min="1" max="2" width="9.140625" style="15"/>
    <col min="3" max="3" width="19.140625" style="15" bestFit="1" customWidth="1"/>
    <col min="4" max="4" width="11.7109375" style="15" bestFit="1" customWidth="1"/>
    <col min="5" max="5" width="14.140625" style="15" bestFit="1" customWidth="1"/>
    <col min="6" max="6" width="9.42578125" style="15" bestFit="1" customWidth="1"/>
    <col min="7" max="7" width="10.85546875" style="15" bestFit="1" customWidth="1"/>
    <col min="8" max="8" width="12.7109375" style="15" customWidth="1"/>
    <col min="9" max="9" width="14.5703125" style="15" customWidth="1"/>
    <col min="10" max="10" width="7" style="15" bestFit="1" customWidth="1"/>
    <col min="11" max="11" width="11.7109375" style="15" bestFit="1" customWidth="1"/>
    <col min="12" max="12" width="10.7109375" style="15" bestFit="1" customWidth="1"/>
    <col min="13" max="15" width="9.5703125" style="15" bestFit="1" customWidth="1"/>
    <col min="16" max="16" width="11.140625" style="15" bestFit="1" customWidth="1"/>
    <col min="17" max="18" width="10" style="15" bestFit="1" customWidth="1"/>
    <col min="19" max="19" width="9.42578125" style="15" bestFit="1" customWidth="1"/>
    <col min="20" max="16384" width="9.140625" style="15"/>
  </cols>
  <sheetData>
    <row r="1" spans="2:19" x14ac:dyDescent="0.2">
      <c r="K1" s="45" t="str">
        <f t="shared" ref="K1:S1" si="0">IF($D$54=K3,"SALE"," ")</f>
        <v xml:space="preserve"> </v>
      </c>
      <c r="L1" s="45" t="str">
        <f t="shared" si="0"/>
        <v xml:space="preserve"> </v>
      </c>
      <c r="M1" s="45" t="str">
        <f t="shared" si="0"/>
        <v xml:space="preserve"> </v>
      </c>
      <c r="N1" s="45" t="str">
        <f t="shared" si="0"/>
        <v xml:space="preserve"> </v>
      </c>
      <c r="O1" s="45" t="str">
        <f t="shared" si="0"/>
        <v xml:space="preserve"> </v>
      </c>
      <c r="P1" s="64" t="str">
        <f t="shared" si="0"/>
        <v>SALE</v>
      </c>
      <c r="Q1" s="45" t="str">
        <f t="shared" si="0"/>
        <v xml:space="preserve"> </v>
      </c>
      <c r="R1" s="45" t="str">
        <f t="shared" si="0"/>
        <v xml:space="preserve"> </v>
      </c>
      <c r="S1" s="45" t="str">
        <f t="shared" si="0"/>
        <v xml:space="preserve"> </v>
      </c>
    </row>
    <row r="2" spans="2:19" x14ac:dyDescent="0.2">
      <c r="J2" s="16"/>
      <c r="K2" s="90">
        <v>2020</v>
      </c>
      <c r="L2" s="65">
        <f>$K$2+L3</f>
        <v>2021</v>
      </c>
      <c r="M2" s="65">
        <f t="shared" ref="M2:S2" si="1">$K$2+M3</f>
        <v>2022</v>
      </c>
      <c r="N2" s="65">
        <f t="shared" si="1"/>
        <v>2023</v>
      </c>
      <c r="O2" s="65">
        <f t="shared" si="1"/>
        <v>2024</v>
      </c>
      <c r="P2" s="65">
        <f t="shared" si="1"/>
        <v>2025</v>
      </c>
      <c r="Q2" s="65">
        <f t="shared" si="1"/>
        <v>2026</v>
      </c>
      <c r="R2" s="65">
        <f t="shared" si="1"/>
        <v>2027</v>
      </c>
      <c r="S2" s="65">
        <f t="shared" si="1"/>
        <v>2028</v>
      </c>
    </row>
    <row r="3" spans="2:19" x14ac:dyDescent="0.2">
      <c r="H3" s="17"/>
      <c r="I3" s="17" t="s">
        <v>11</v>
      </c>
      <c r="J3" s="17"/>
      <c r="K3" s="46" t="s">
        <v>62</v>
      </c>
      <c r="L3" s="46">
        <v>1</v>
      </c>
      <c r="M3" s="46">
        <v>2</v>
      </c>
      <c r="N3" s="46">
        <v>3</v>
      </c>
      <c r="O3" s="46">
        <v>4</v>
      </c>
      <c r="P3" s="46">
        <v>5</v>
      </c>
      <c r="Q3" s="46">
        <v>6</v>
      </c>
      <c r="R3" s="46">
        <v>7</v>
      </c>
      <c r="S3" s="46">
        <v>8</v>
      </c>
    </row>
    <row r="4" spans="2:19" x14ac:dyDescent="0.2">
      <c r="K4" s="45" t="s">
        <v>203</v>
      </c>
    </row>
    <row r="5" spans="2:19" x14ac:dyDescent="0.2">
      <c r="B5" s="173" t="s">
        <v>18</v>
      </c>
      <c r="C5" s="174"/>
      <c r="D5" s="174"/>
      <c r="E5" s="175"/>
      <c r="H5" s="22" t="s">
        <v>64</v>
      </c>
      <c r="I5" s="23"/>
      <c r="J5" s="23"/>
      <c r="K5" s="129">
        <v>824</v>
      </c>
      <c r="L5" s="24">
        <f>$F$38*$E$11/1000</f>
        <v>868.69200000000012</v>
      </c>
      <c r="M5" s="24">
        <f>$F$38*$E$11/1000</f>
        <v>868.69200000000012</v>
      </c>
      <c r="N5" s="24">
        <f>$F$38*$E$11/1000</f>
        <v>868.69200000000012</v>
      </c>
      <c r="O5" s="24">
        <f>$F$38*$E$11/1000</f>
        <v>868.69200000000012</v>
      </c>
      <c r="P5" s="24">
        <f>$F$38*$E$11/1000</f>
        <v>868.69200000000012</v>
      </c>
      <c r="Q5" s="24">
        <f>$F$39*$E$11/1000</f>
        <v>1007.0521141518155</v>
      </c>
      <c r="R5" s="24">
        <f>$F$39*$E$11/1000</f>
        <v>1007.0521141518155</v>
      </c>
      <c r="S5" s="25">
        <f>$F$39*$E$11/1000</f>
        <v>1007.0521141518155</v>
      </c>
    </row>
    <row r="6" spans="2:19" x14ac:dyDescent="0.2">
      <c r="B6" s="176" t="s">
        <v>125</v>
      </c>
      <c r="C6" s="177"/>
      <c r="D6" s="177"/>
      <c r="E6" s="178"/>
      <c r="H6" s="33"/>
      <c r="I6" s="15" t="s">
        <v>65</v>
      </c>
      <c r="K6" s="167">
        <v>291</v>
      </c>
      <c r="L6" s="18">
        <v>325</v>
      </c>
      <c r="M6" s="18">
        <f t="shared" ref="M6:S6" si="2">L6*(1+$F$40)</f>
        <v>334.75</v>
      </c>
      <c r="N6" s="18">
        <f t="shared" si="2"/>
        <v>344.79250000000002</v>
      </c>
      <c r="O6" s="18">
        <f t="shared" si="2"/>
        <v>355.13627500000001</v>
      </c>
      <c r="P6" s="18">
        <f t="shared" si="2"/>
        <v>365.79036325000004</v>
      </c>
      <c r="Q6" s="18">
        <f t="shared" si="2"/>
        <v>376.76407414750003</v>
      </c>
      <c r="R6" s="18">
        <f t="shared" si="2"/>
        <v>388.06699637192503</v>
      </c>
      <c r="S6" s="27">
        <f t="shared" si="2"/>
        <v>399.70900626308281</v>
      </c>
    </row>
    <row r="7" spans="2:19" x14ac:dyDescent="0.2">
      <c r="B7" s="33"/>
      <c r="C7" s="15" t="s">
        <v>19</v>
      </c>
      <c r="D7" s="15" t="s">
        <v>20</v>
      </c>
      <c r="E7" s="83">
        <v>10.55</v>
      </c>
      <c r="H7" s="33"/>
      <c r="K7" s="167"/>
      <c r="S7" s="34"/>
    </row>
    <row r="8" spans="2:19" x14ac:dyDescent="0.2">
      <c r="B8" s="33"/>
      <c r="C8" s="15" t="s">
        <v>21</v>
      </c>
      <c r="D8" s="15" t="s">
        <v>22</v>
      </c>
      <c r="E8" s="49">
        <f>E7*43560</f>
        <v>459558.00000000006</v>
      </c>
      <c r="H8" s="33" t="s">
        <v>66</v>
      </c>
      <c r="K8" s="167">
        <f>SUM(K5:K7)</f>
        <v>1115</v>
      </c>
      <c r="L8" s="18">
        <f t="shared" ref="L8:S8" si="3">SUM(L5:L7)</f>
        <v>1193.692</v>
      </c>
      <c r="M8" s="18">
        <f t="shared" si="3"/>
        <v>1203.442</v>
      </c>
      <c r="N8" s="18">
        <f t="shared" si="3"/>
        <v>1213.4845</v>
      </c>
      <c r="O8" s="18">
        <f t="shared" si="3"/>
        <v>1223.8282750000001</v>
      </c>
      <c r="P8" s="18">
        <f t="shared" si="3"/>
        <v>1234.4823632500002</v>
      </c>
      <c r="Q8" s="18">
        <f t="shared" si="3"/>
        <v>1383.8161882993156</v>
      </c>
      <c r="R8" s="18">
        <f t="shared" si="3"/>
        <v>1395.1191105237406</v>
      </c>
      <c r="S8" s="27">
        <f t="shared" si="3"/>
        <v>1406.7611204148984</v>
      </c>
    </row>
    <row r="9" spans="2:19" x14ac:dyDescent="0.2">
      <c r="B9" s="33"/>
      <c r="C9" s="15" t="s">
        <v>23</v>
      </c>
      <c r="D9" s="15" t="s">
        <v>24</v>
      </c>
      <c r="E9" s="84">
        <v>3000000</v>
      </c>
      <c r="H9" s="33"/>
      <c r="K9" s="167"/>
      <c r="S9" s="34"/>
    </row>
    <row r="10" spans="2:19" x14ac:dyDescent="0.2">
      <c r="B10" s="33"/>
      <c r="C10" s="15" t="s">
        <v>25</v>
      </c>
      <c r="E10" s="84">
        <v>6700000</v>
      </c>
      <c r="H10" s="33"/>
      <c r="I10" s="15" t="s">
        <v>69</v>
      </c>
      <c r="K10" s="167"/>
      <c r="L10" s="18">
        <f t="shared" ref="L10:S10" si="4">L8*-$F$42</f>
        <v>-59.684600000000003</v>
      </c>
      <c r="M10" s="18">
        <f t="shared" si="4"/>
        <v>-60.1721</v>
      </c>
      <c r="N10" s="18">
        <f t="shared" si="4"/>
        <v>-60.674225000000007</v>
      </c>
      <c r="O10" s="18">
        <f t="shared" si="4"/>
        <v>-61.191413750000009</v>
      </c>
      <c r="P10" s="18">
        <f t="shared" si="4"/>
        <v>-61.724118162500012</v>
      </c>
      <c r="Q10" s="18">
        <f t="shared" si="4"/>
        <v>-69.190809414965784</v>
      </c>
      <c r="R10" s="18">
        <f t="shared" si="4"/>
        <v>-69.755955526187037</v>
      </c>
      <c r="S10" s="27">
        <f t="shared" si="4"/>
        <v>-70.338056020744929</v>
      </c>
    </row>
    <row r="11" spans="2:19" x14ac:dyDescent="0.2">
      <c r="B11" s="33"/>
      <c r="C11" s="15" t="s">
        <v>26</v>
      </c>
      <c r="D11" s="15" t="s">
        <v>27</v>
      </c>
      <c r="E11" s="81">
        <v>160000</v>
      </c>
      <c r="H11" s="33"/>
      <c r="K11" s="167"/>
      <c r="S11" s="34"/>
    </row>
    <row r="12" spans="2:19" x14ac:dyDescent="0.2">
      <c r="B12" s="33"/>
      <c r="C12" s="15" t="s">
        <v>28</v>
      </c>
      <c r="D12" s="15" t="s">
        <v>29</v>
      </c>
      <c r="E12" s="82">
        <v>75</v>
      </c>
      <c r="H12" s="33" t="s">
        <v>70</v>
      </c>
      <c r="K12" s="167">
        <f>SUM(K8:K11)</f>
        <v>1115</v>
      </c>
      <c r="L12" s="18">
        <f>L10+L8</f>
        <v>1134.0074</v>
      </c>
      <c r="M12" s="18">
        <f t="shared" ref="M12:S12" si="5">M10+M8</f>
        <v>1143.2699</v>
      </c>
      <c r="N12" s="18">
        <f t="shared" si="5"/>
        <v>1152.810275</v>
      </c>
      <c r="O12" s="18">
        <f t="shared" si="5"/>
        <v>1162.63686125</v>
      </c>
      <c r="P12" s="18">
        <f t="shared" si="5"/>
        <v>1172.7582450875002</v>
      </c>
      <c r="Q12" s="18">
        <f t="shared" si="5"/>
        <v>1314.6253788843499</v>
      </c>
      <c r="R12" s="18">
        <f t="shared" si="5"/>
        <v>1325.3631549975535</v>
      </c>
      <c r="S12" s="27">
        <f t="shared" si="5"/>
        <v>1336.4230643941535</v>
      </c>
    </row>
    <row r="13" spans="2:19" x14ac:dyDescent="0.2">
      <c r="B13" s="33"/>
      <c r="C13" s="15" t="s">
        <v>30</v>
      </c>
      <c r="E13" s="27">
        <f>E12*E11</f>
        <v>12000000</v>
      </c>
      <c r="H13" s="33"/>
      <c r="K13" s="167"/>
      <c r="S13" s="34"/>
    </row>
    <row r="14" spans="2:19" x14ac:dyDescent="0.2">
      <c r="B14" s="33"/>
      <c r="C14" s="15" t="s">
        <v>194</v>
      </c>
      <c r="E14" s="52">
        <f>D22/(E13/1000)</f>
        <v>0.83333333333333337</v>
      </c>
      <c r="H14" s="33"/>
      <c r="I14" s="15" t="s">
        <v>71</v>
      </c>
      <c r="K14" s="167">
        <v>75</v>
      </c>
      <c r="L14" s="18">
        <v>75</v>
      </c>
      <c r="M14" s="18">
        <f t="shared" ref="M14:S16" si="6">L14*(1+$F$40)</f>
        <v>77.25</v>
      </c>
      <c r="N14" s="18">
        <f t="shared" si="6"/>
        <v>79.567499999999995</v>
      </c>
      <c r="O14" s="18">
        <f t="shared" si="6"/>
        <v>81.954525000000004</v>
      </c>
      <c r="P14" s="18">
        <f t="shared" si="6"/>
        <v>84.413160750000003</v>
      </c>
      <c r="Q14" s="18">
        <f t="shared" si="6"/>
        <v>86.945555572499998</v>
      </c>
      <c r="R14" s="18">
        <f t="shared" si="6"/>
        <v>89.553922239675003</v>
      </c>
      <c r="S14" s="27">
        <f t="shared" si="6"/>
        <v>92.240539906865251</v>
      </c>
    </row>
    <row r="15" spans="2:19" x14ac:dyDescent="0.2">
      <c r="B15" s="33"/>
      <c r="C15" s="15" t="s">
        <v>31</v>
      </c>
      <c r="D15" s="15" t="s">
        <v>32</v>
      </c>
      <c r="E15" s="81">
        <v>39</v>
      </c>
      <c r="H15" s="33"/>
      <c r="I15" s="15" t="s">
        <v>72</v>
      </c>
      <c r="K15" s="167">
        <v>203</v>
      </c>
      <c r="L15" s="18">
        <v>203</v>
      </c>
      <c r="M15" s="18">
        <f t="shared" si="6"/>
        <v>209.09</v>
      </c>
      <c r="N15" s="18">
        <f t="shared" si="6"/>
        <v>215.36270000000002</v>
      </c>
      <c r="O15" s="18">
        <f t="shared" si="6"/>
        <v>221.82358100000002</v>
      </c>
      <c r="P15" s="18">
        <f t="shared" si="6"/>
        <v>228.47828843000002</v>
      </c>
      <c r="Q15" s="18">
        <f t="shared" si="6"/>
        <v>235.33263708290002</v>
      </c>
      <c r="R15" s="18">
        <f t="shared" si="6"/>
        <v>242.39261619538703</v>
      </c>
      <c r="S15" s="27">
        <f t="shared" si="6"/>
        <v>249.66439468124867</v>
      </c>
    </row>
    <row r="16" spans="2:19" x14ac:dyDescent="0.2">
      <c r="B16" s="28"/>
      <c r="C16" s="31" t="s">
        <v>31</v>
      </c>
      <c r="D16" s="31" t="s">
        <v>33</v>
      </c>
      <c r="E16" s="36">
        <f>E10/E15</f>
        <v>171794.87179487178</v>
      </c>
      <c r="G16" s="21"/>
      <c r="H16" s="33"/>
      <c r="I16" s="15" t="s">
        <v>215</v>
      </c>
      <c r="K16" s="167">
        <v>13</v>
      </c>
      <c r="L16" s="18">
        <v>13</v>
      </c>
      <c r="M16" s="18">
        <f t="shared" si="6"/>
        <v>13.39</v>
      </c>
      <c r="N16" s="18">
        <f t="shared" si="6"/>
        <v>13.791700000000001</v>
      </c>
      <c r="O16" s="18">
        <f t="shared" si="6"/>
        <v>14.205451</v>
      </c>
      <c r="P16" s="18">
        <f t="shared" si="6"/>
        <v>14.63161453</v>
      </c>
      <c r="Q16" s="18">
        <f t="shared" si="6"/>
        <v>15.070562965900001</v>
      </c>
      <c r="R16" s="18">
        <f t="shared" si="6"/>
        <v>15.522679854877001</v>
      </c>
      <c r="S16" s="27">
        <f t="shared" si="6"/>
        <v>15.988360250523312</v>
      </c>
    </row>
    <row r="17" spans="2:24" x14ac:dyDescent="0.2">
      <c r="G17" s="21"/>
      <c r="H17" s="33"/>
      <c r="I17" s="15" t="s">
        <v>74</v>
      </c>
      <c r="K17" s="167"/>
      <c r="L17" s="18">
        <f>L5*$F$41</f>
        <v>26.060760000000002</v>
      </c>
      <c r="M17" s="18">
        <f>M5*$F$41</f>
        <v>26.060760000000002</v>
      </c>
      <c r="N17" s="18">
        <f t="shared" ref="N17:S17" si="7">N5*$F$41</f>
        <v>26.060760000000002</v>
      </c>
      <c r="O17" s="18">
        <f t="shared" si="7"/>
        <v>26.060760000000002</v>
      </c>
      <c r="P17" s="18">
        <f t="shared" si="7"/>
        <v>26.060760000000002</v>
      </c>
      <c r="Q17" s="18">
        <f t="shared" si="7"/>
        <v>30.211563424554466</v>
      </c>
      <c r="R17" s="18">
        <f t="shared" si="7"/>
        <v>30.211563424554466</v>
      </c>
      <c r="S17" s="27">
        <f t="shared" si="7"/>
        <v>30.211563424554466</v>
      </c>
    </row>
    <row r="18" spans="2:24" x14ac:dyDescent="0.2">
      <c r="B18" s="44" t="s">
        <v>0</v>
      </c>
      <c r="C18" s="50"/>
      <c r="D18" s="47" t="s">
        <v>24</v>
      </c>
      <c r="E18" s="47" t="s">
        <v>40</v>
      </c>
      <c r="F18" s="48" t="s">
        <v>41</v>
      </c>
      <c r="H18" s="33"/>
      <c r="I18" s="15" t="s">
        <v>75</v>
      </c>
      <c r="K18" s="167"/>
      <c r="L18" s="18">
        <v>32</v>
      </c>
      <c r="M18" s="18">
        <f t="shared" ref="M18:S18" si="8">$L$18</f>
        <v>32</v>
      </c>
      <c r="N18" s="18">
        <f t="shared" si="8"/>
        <v>32</v>
      </c>
      <c r="O18" s="18">
        <f t="shared" si="8"/>
        <v>32</v>
      </c>
      <c r="P18" s="18">
        <f t="shared" si="8"/>
        <v>32</v>
      </c>
      <c r="Q18" s="18">
        <f t="shared" si="8"/>
        <v>32</v>
      </c>
      <c r="R18" s="18">
        <f t="shared" si="8"/>
        <v>32</v>
      </c>
      <c r="S18" s="27">
        <f t="shared" si="8"/>
        <v>32</v>
      </c>
    </row>
    <row r="19" spans="2:24" x14ac:dyDescent="0.2">
      <c r="B19" s="128" t="s">
        <v>34</v>
      </c>
      <c r="F19" s="34"/>
      <c r="H19" s="33" t="s">
        <v>76</v>
      </c>
      <c r="K19" s="167">
        <f>SUM(K14:K18)</f>
        <v>291</v>
      </c>
      <c r="L19" s="59">
        <f>SUM(L14:L18)</f>
        <v>349.06076000000002</v>
      </c>
      <c r="M19" s="59">
        <f t="shared" ref="M19:S19" si="9">SUM(M14:M18)</f>
        <v>357.79076000000003</v>
      </c>
      <c r="N19" s="59">
        <f t="shared" si="9"/>
        <v>366.78266000000002</v>
      </c>
      <c r="O19" s="59">
        <f t="shared" si="9"/>
        <v>376.04431700000004</v>
      </c>
      <c r="P19" s="59">
        <f t="shared" si="9"/>
        <v>385.58382370999999</v>
      </c>
      <c r="Q19" s="59">
        <f t="shared" si="9"/>
        <v>399.5603190458545</v>
      </c>
      <c r="R19" s="59">
        <f t="shared" si="9"/>
        <v>409.68078171449355</v>
      </c>
      <c r="S19" s="60">
        <f t="shared" si="9"/>
        <v>420.10485826319172</v>
      </c>
      <c r="U19" s="18"/>
      <c r="V19" s="18"/>
      <c r="W19" s="18"/>
      <c r="X19" s="18"/>
    </row>
    <row r="20" spans="2:24" x14ac:dyDescent="0.2">
      <c r="B20" s="33"/>
      <c r="C20" s="15" t="s">
        <v>35</v>
      </c>
      <c r="D20" s="18">
        <v>7760</v>
      </c>
      <c r="E20" s="20">
        <f>D20/$E$11*1000</f>
        <v>48.5</v>
      </c>
      <c r="F20" s="106">
        <f>D20/$D$22</f>
        <v>0.77600000000000002</v>
      </c>
      <c r="H20" s="33" t="s">
        <v>126</v>
      </c>
      <c r="K20" s="167"/>
      <c r="L20" s="18">
        <f t="shared" ref="L20:S20" si="10">IF($C$44=L$3,-$E$47,0)</f>
        <v>0</v>
      </c>
      <c r="M20" s="18">
        <f t="shared" si="10"/>
        <v>0</v>
      </c>
      <c r="N20" s="18">
        <f t="shared" si="10"/>
        <v>0</v>
      </c>
      <c r="O20" s="18">
        <f t="shared" si="10"/>
        <v>0</v>
      </c>
      <c r="P20" s="18">
        <f t="shared" si="10"/>
        <v>-13.110496770356816</v>
      </c>
      <c r="Q20" s="18">
        <f t="shared" si="10"/>
        <v>0</v>
      </c>
      <c r="R20" s="18">
        <f t="shared" si="10"/>
        <v>0</v>
      </c>
      <c r="S20" s="27">
        <f t="shared" si="10"/>
        <v>0</v>
      </c>
    </row>
    <row r="21" spans="2:24" x14ac:dyDescent="0.2">
      <c r="B21" s="33"/>
      <c r="C21" s="31" t="s">
        <v>36</v>
      </c>
      <c r="D21" s="35">
        <f>D25-F30+D26</f>
        <v>2240</v>
      </c>
      <c r="E21" s="109">
        <f>D21/$E$11*1000</f>
        <v>14</v>
      </c>
      <c r="F21" s="72">
        <f>D21/$D$22</f>
        <v>0.224</v>
      </c>
      <c r="H21" s="33" t="s">
        <v>128</v>
      </c>
      <c r="K21" s="167"/>
      <c r="L21" s="18">
        <f t="shared" ref="L21:S21" si="11">IF($C$44=L$3,-$E$50,0)</f>
        <v>0</v>
      </c>
      <c r="M21" s="18">
        <f t="shared" si="11"/>
        <v>0</v>
      </c>
      <c r="N21" s="18">
        <f t="shared" si="11"/>
        <v>0</v>
      </c>
      <c r="O21" s="18">
        <f t="shared" si="11"/>
        <v>0</v>
      </c>
      <c r="P21" s="18">
        <f t="shared" si="11"/>
        <v>-83.319599999999994</v>
      </c>
      <c r="Q21" s="18">
        <f t="shared" si="11"/>
        <v>0</v>
      </c>
      <c r="R21" s="18">
        <f t="shared" si="11"/>
        <v>0</v>
      </c>
      <c r="S21" s="27">
        <f t="shared" si="11"/>
        <v>0</v>
      </c>
    </row>
    <row r="22" spans="2:24" ht="15.75" thickBot="1" x14ac:dyDescent="0.3">
      <c r="B22" s="33"/>
      <c r="C22" s="15" t="s">
        <v>30</v>
      </c>
      <c r="D22" s="18">
        <f>SUM(D20:D21)</f>
        <v>10000</v>
      </c>
      <c r="E22" s="20">
        <f>SUM(E20:E21)</f>
        <v>62.5</v>
      </c>
      <c r="F22" s="34"/>
      <c r="H22" s="168" t="s">
        <v>48</v>
      </c>
      <c r="I22" s="168"/>
      <c r="J22" s="168"/>
      <c r="K22" s="169">
        <f>K12-K19</f>
        <v>824</v>
      </c>
      <c r="L22" s="170">
        <f t="shared" ref="L22:P22" si="12">L12-L19+L20+L21</f>
        <v>784.94663999999989</v>
      </c>
      <c r="M22" s="170">
        <f t="shared" si="12"/>
        <v>785.47913999999992</v>
      </c>
      <c r="N22" s="170">
        <f t="shared" si="12"/>
        <v>786.02761499999997</v>
      </c>
      <c r="O22" s="170">
        <f t="shared" si="12"/>
        <v>786.59254424999995</v>
      </c>
      <c r="P22" s="170">
        <f t="shared" si="12"/>
        <v>690.74432460714343</v>
      </c>
      <c r="Q22" s="170">
        <f>Q12-Q19+Q20+Q21</f>
        <v>915.06505983849536</v>
      </c>
      <c r="R22" s="170">
        <f>R12-R19+R20+R21</f>
        <v>915.68237328305986</v>
      </c>
      <c r="S22" s="170">
        <f>S12-S19+S20+S21</f>
        <v>916.3182061309617</v>
      </c>
    </row>
    <row r="23" spans="2:24" ht="13.5" thickTop="1" x14ac:dyDescent="0.2">
      <c r="B23" s="33"/>
      <c r="F23" s="34"/>
      <c r="H23" s="33" t="s">
        <v>190</v>
      </c>
      <c r="L23" s="104">
        <f t="shared" ref="L23:S23" si="13">L22/$D$22</f>
        <v>7.8494663999999992E-2</v>
      </c>
      <c r="M23" s="104">
        <f t="shared" si="13"/>
        <v>7.8547913999999996E-2</v>
      </c>
      <c r="N23" s="104">
        <f t="shared" si="13"/>
        <v>7.8602761499999993E-2</v>
      </c>
      <c r="O23" s="104">
        <f t="shared" si="13"/>
        <v>7.8659254424999991E-2</v>
      </c>
      <c r="P23" s="104">
        <f t="shared" si="13"/>
        <v>6.9074432460714347E-2</v>
      </c>
      <c r="Q23" s="104">
        <f t="shared" si="13"/>
        <v>9.1506505983849531E-2</v>
      </c>
      <c r="R23" s="104">
        <f t="shared" si="13"/>
        <v>9.156823732830599E-2</v>
      </c>
      <c r="S23" s="106">
        <f t="shared" si="13"/>
        <v>9.1631820613096174E-2</v>
      </c>
    </row>
    <row r="24" spans="2:24" x14ac:dyDescent="0.2">
      <c r="B24" s="127" t="s">
        <v>37</v>
      </c>
      <c r="F24" s="34"/>
      <c r="H24" s="33"/>
      <c r="S24" s="34"/>
    </row>
    <row r="25" spans="2:24" x14ac:dyDescent="0.2">
      <c r="B25" s="33"/>
      <c r="C25" s="15" t="s">
        <v>38</v>
      </c>
      <c r="D25" s="80">
        <v>10000</v>
      </c>
      <c r="E25" s="104" t="s">
        <v>204</v>
      </c>
      <c r="F25" s="106">
        <f>K22/D25</f>
        <v>8.2400000000000001E-2</v>
      </c>
      <c r="H25" s="22" t="s">
        <v>86</v>
      </c>
      <c r="I25" s="23"/>
      <c r="J25" s="24"/>
      <c r="K25" s="24"/>
      <c r="L25" s="24">
        <f t="shared" ref="L25:S25" si="14">IF($D$54=L3,$D$60,0)</f>
        <v>0</v>
      </c>
      <c r="M25" s="24">
        <f t="shared" si="14"/>
        <v>0</v>
      </c>
      <c r="N25" s="24">
        <f t="shared" si="14"/>
        <v>0</v>
      </c>
      <c r="O25" s="24">
        <f t="shared" si="14"/>
        <v>0</v>
      </c>
      <c r="P25" s="24">
        <f>IF($D$54=P3,$D$60,0)</f>
        <v>12418.740097808151</v>
      </c>
      <c r="Q25" s="24">
        <f t="shared" si="14"/>
        <v>0</v>
      </c>
      <c r="R25" s="24">
        <f t="shared" si="14"/>
        <v>0</v>
      </c>
      <c r="S25" s="25">
        <f t="shared" si="14"/>
        <v>0</v>
      </c>
    </row>
    <row r="26" spans="2:24" x14ac:dyDescent="0.2">
      <c r="B26" s="33"/>
      <c r="C26" s="15" t="s">
        <v>39</v>
      </c>
      <c r="D26" s="80">
        <v>0</v>
      </c>
      <c r="F26" s="34"/>
      <c r="H26" s="26" t="s">
        <v>88</v>
      </c>
      <c r="K26" s="18">
        <f>-D27</f>
        <v>-10000</v>
      </c>
      <c r="L26" s="18">
        <f t="shared" ref="L26:S26" si="15">IF($D$54&gt;L3,L22+L25,IF($D$54=L3,L25+L22," "))</f>
        <v>784.94663999999989</v>
      </c>
      <c r="M26" s="18">
        <f t="shared" si="15"/>
        <v>785.47913999999992</v>
      </c>
      <c r="N26" s="18">
        <f t="shared" si="15"/>
        <v>786.02761499999997</v>
      </c>
      <c r="O26" s="18">
        <f t="shared" si="15"/>
        <v>786.59254424999995</v>
      </c>
      <c r="P26" s="18">
        <f>IF($D$54&gt;P3,P22+P25,IF($D$54=P3,P25+P22," "))</f>
        <v>13109.484422415295</v>
      </c>
      <c r="Q26" s="18" t="str">
        <f t="shared" si="15"/>
        <v xml:space="preserve"> </v>
      </c>
      <c r="R26" s="18" t="str">
        <f t="shared" si="15"/>
        <v xml:space="preserve"> </v>
      </c>
      <c r="S26" s="27" t="str">
        <f t="shared" si="15"/>
        <v xml:space="preserve"> </v>
      </c>
    </row>
    <row r="27" spans="2:24" x14ac:dyDescent="0.2">
      <c r="B27" s="28"/>
      <c r="C27" s="31" t="s">
        <v>30</v>
      </c>
      <c r="D27" s="35">
        <f>D26+D25</f>
        <v>10000</v>
      </c>
      <c r="E27" s="31"/>
      <c r="F27" s="32"/>
      <c r="G27" s="18"/>
      <c r="H27" s="28"/>
      <c r="I27" s="29" t="s">
        <v>83</v>
      </c>
      <c r="J27" s="39">
        <f>IF($D$54=$L$3,IRR(K26:L26),IF($D$54=$M$3,IRR(K26:M26),IF($D$54=$N$3,IRR(K26:N26),IF($D$54=$O$3,IRR(K26:O26),IF($D$54=$P$3,IRR(K26:P26),IF($D$54=$Q$3,IRR(K26:Q26),IF($D$54=$R$3,IRR(K26:R26),IF($D$54=$S$3,IRR(K26:S26),0))))))))</f>
        <v>0.11547775877529309</v>
      </c>
      <c r="K27" s="31"/>
      <c r="L27" s="31"/>
      <c r="M27" s="31"/>
      <c r="N27" s="31"/>
      <c r="O27" s="31"/>
      <c r="P27" s="31"/>
      <c r="Q27" s="31"/>
      <c r="R27" s="31"/>
      <c r="S27" s="32"/>
    </row>
    <row r="28" spans="2:24" x14ac:dyDescent="0.2">
      <c r="D28" s="18"/>
      <c r="I28" s="37"/>
      <c r="J28" s="40"/>
    </row>
    <row r="29" spans="2:24" x14ac:dyDescent="0.2">
      <c r="B29" s="173" t="s">
        <v>1</v>
      </c>
      <c r="C29" s="174"/>
      <c r="D29" s="174"/>
      <c r="E29" s="174"/>
      <c r="F29" s="175"/>
      <c r="H29" s="41" t="s">
        <v>81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</row>
    <row r="30" spans="2:24" x14ac:dyDescent="0.2">
      <c r="B30" s="33"/>
      <c r="C30" s="15" t="s">
        <v>2</v>
      </c>
      <c r="E30" s="74"/>
      <c r="F30" s="27">
        <f>D20</f>
        <v>7760</v>
      </c>
      <c r="H30" s="33"/>
      <c r="I30" s="15" t="s">
        <v>77</v>
      </c>
      <c r="L30" s="18">
        <f t="shared" ref="L30:S30" si="16">-$E$35</f>
        <v>-444.56912313743595</v>
      </c>
      <c r="M30" s="18">
        <f t="shared" si="16"/>
        <v>-444.56912313743595</v>
      </c>
      <c r="N30" s="18">
        <f t="shared" si="16"/>
        <v>-444.56912313743595</v>
      </c>
      <c r="O30" s="18">
        <f t="shared" si="16"/>
        <v>-444.56912313743595</v>
      </c>
      <c r="P30" s="18">
        <f t="shared" si="16"/>
        <v>-444.56912313743595</v>
      </c>
      <c r="Q30" s="18">
        <f t="shared" si="16"/>
        <v>-444.56912313743595</v>
      </c>
      <c r="R30" s="18">
        <f t="shared" si="16"/>
        <v>-444.56912313743595</v>
      </c>
      <c r="S30" s="27">
        <f t="shared" si="16"/>
        <v>-444.56912313743595</v>
      </c>
    </row>
    <row r="31" spans="2:24" x14ac:dyDescent="0.2">
      <c r="B31" s="33"/>
      <c r="C31" s="15" t="s">
        <v>42</v>
      </c>
      <c r="E31" s="104">
        <f>L22/D20</f>
        <v>0.10115291752577318</v>
      </c>
      <c r="F31" s="34"/>
      <c r="H31" s="33" t="s">
        <v>79</v>
      </c>
      <c r="L31" s="18">
        <f t="shared" ref="L31:S31" si="17">L30+L22</f>
        <v>340.37751686256394</v>
      </c>
      <c r="M31" s="18">
        <f t="shared" si="17"/>
        <v>340.91001686256396</v>
      </c>
      <c r="N31" s="18">
        <f t="shared" si="17"/>
        <v>341.45849186256402</v>
      </c>
      <c r="O31" s="18">
        <f t="shared" si="17"/>
        <v>342.02342111256399</v>
      </c>
      <c r="P31" s="18">
        <f t="shared" si="17"/>
        <v>246.17520146970747</v>
      </c>
      <c r="Q31" s="18">
        <f t="shared" si="17"/>
        <v>470.49593670105941</v>
      </c>
      <c r="R31" s="18">
        <f t="shared" si="17"/>
        <v>471.11325014562391</v>
      </c>
      <c r="S31" s="27">
        <f t="shared" si="17"/>
        <v>471.74908299352575</v>
      </c>
    </row>
    <row r="32" spans="2:24" x14ac:dyDescent="0.2">
      <c r="B32" s="33"/>
      <c r="C32" s="15" t="s">
        <v>43</v>
      </c>
      <c r="E32" s="74">
        <v>0.04</v>
      </c>
      <c r="F32" s="34"/>
      <c r="H32" s="33"/>
      <c r="S32" s="34"/>
    </row>
    <row r="33" spans="2:19" x14ac:dyDescent="0.2">
      <c r="B33" s="33"/>
      <c r="C33" s="15" t="s">
        <v>45</v>
      </c>
      <c r="D33" s="15" t="s">
        <v>32</v>
      </c>
      <c r="E33" s="75">
        <v>30</v>
      </c>
      <c r="F33" s="34"/>
      <c r="H33" s="33" t="s">
        <v>85</v>
      </c>
      <c r="K33" s="18">
        <f>-D21</f>
        <v>-2240</v>
      </c>
      <c r="L33" s="18">
        <f>IF($D$54=L3,-Amortization!K3,0)</f>
        <v>0</v>
      </c>
      <c r="M33" s="18">
        <f>IF($D$54=M3,-Amortization!L3,0)</f>
        <v>0</v>
      </c>
      <c r="N33" s="18">
        <f>IF($D$54=N3,-Amortization!M3,0)</f>
        <v>0</v>
      </c>
      <c r="O33" s="18">
        <f>IF($D$54=O3,-Amortization!N3,0)</f>
        <v>0</v>
      </c>
      <c r="P33" s="18">
        <f>IF($D$54=P3,-Amortization!O3,0)</f>
        <v>-7018.7270193606364</v>
      </c>
      <c r="Q33" s="18">
        <f>IF($D$54=Q3,-Amortization!P3,0)</f>
        <v>0</v>
      </c>
      <c r="R33" s="18">
        <f>IF($D$54=R3,-Amortization!Q3,0)</f>
        <v>0</v>
      </c>
      <c r="S33" s="27">
        <f>IF($D$54=S3,-Amortization!R3,0)</f>
        <v>0</v>
      </c>
    </row>
    <row r="34" spans="2:19" x14ac:dyDescent="0.2">
      <c r="B34" s="33"/>
      <c r="C34" s="15" t="s">
        <v>44</v>
      </c>
      <c r="D34" s="15" t="s">
        <v>32</v>
      </c>
      <c r="E34" s="76">
        <v>7</v>
      </c>
      <c r="F34" s="34"/>
      <c r="H34" s="33"/>
      <c r="S34" s="34"/>
    </row>
    <row r="35" spans="2:19" x14ac:dyDescent="0.2">
      <c r="B35" s="28"/>
      <c r="C35" s="31" t="s">
        <v>78</v>
      </c>
      <c r="D35" s="31"/>
      <c r="E35" s="35">
        <f>Amortization!D7*12</f>
        <v>444.56912313743595</v>
      </c>
      <c r="F35" s="32"/>
      <c r="H35" s="26" t="s">
        <v>79</v>
      </c>
      <c r="K35" s="18">
        <f>K33+J31+J25</f>
        <v>-2240</v>
      </c>
      <c r="L35" s="18">
        <f t="shared" ref="L35:S35" si="18">IF($D$54&gt;L3,L33+L31+L25,IF($D$54=L3,L33+L31+L25," "))</f>
        <v>340.37751686256394</v>
      </c>
      <c r="M35" s="18">
        <f t="shared" si="18"/>
        <v>340.91001686256396</v>
      </c>
      <c r="N35" s="18">
        <f t="shared" si="18"/>
        <v>341.45849186256402</v>
      </c>
      <c r="O35" s="18">
        <f t="shared" si="18"/>
        <v>342.02342111256399</v>
      </c>
      <c r="P35" s="18">
        <f t="shared" si="18"/>
        <v>5646.1882799172226</v>
      </c>
      <c r="Q35" s="18" t="str">
        <f t="shared" si="18"/>
        <v xml:space="preserve"> </v>
      </c>
      <c r="R35" s="18" t="str">
        <f t="shared" si="18"/>
        <v xml:space="preserve"> </v>
      </c>
      <c r="S35" s="27" t="str">
        <f t="shared" si="18"/>
        <v xml:space="preserve"> </v>
      </c>
    </row>
    <row r="36" spans="2:19" x14ac:dyDescent="0.2">
      <c r="E36" s="19"/>
      <c r="H36" s="28"/>
      <c r="I36" s="29" t="s">
        <v>83</v>
      </c>
      <c r="J36" s="39">
        <f>IF($D$54=$L$3,IRR(K35:L35),IF($D$54=$M$3,IRR(K35:M35),IF($D$54=$N$3,IRR(K35:N35),IF($D$54=$O$3,IRR(K35:O35),IF($D$54=$P$3,IRR(K35:P35),IF($D$54=$Q$3,IRR(K35:Q35),IF($D$54=$R$3,IRR(K35:R35),IF($D$54=$S$3,IRR(K35:S35),0))))))))</f>
        <v>0.30275421910196254</v>
      </c>
      <c r="K36" s="31"/>
      <c r="L36" s="31"/>
      <c r="M36" s="31"/>
      <c r="N36" s="31"/>
      <c r="O36" s="31"/>
      <c r="P36" s="31"/>
      <c r="Q36" s="31"/>
      <c r="R36" s="31"/>
      <c r="S36" s="32"/>
    </row>
    <row r="37" spans="2:19" x14ac:dyDescent="0.2">
      <c r="B37" s="173" t="s">
        <v>63</v>
      </c>
      <c r="C37" s="174"/>
      <c r="D37" s="174"/>
      <c r="E37" s="174"/>
      <c r="F37" s="175"/>
      <c r="H37" s="33" t="s">
        <v>188</v>
      </c>
      <c r="L37" s="164">
        <f t="shared" ref="L37:S37" si="19">L22/-L30</f>
        <v>1.7656346317090901</v>
      </c>
      <c r="M37" s="164">
        <f t="shared" si="19"/>
        <v>1.766832420696868</v>
      </c>
      <c r="N37" s="164">
        <f t="shared" si="19"/>
        <v>1.768066143354279</v>
      </c>
      <c r="O37" s="164">
        <f t="shared" si="19"/>
        <v>1.7693368776914122</v>
      </c>
      <c r="P37" s="164">
        <f t="shared" si="19"/>
        <v>1.5537388645715817</v>
      </c>
      <c r="Q37" s="164">
        <f t="shared" si="19"/>
        <v>2.0583189704688696</v>
      </c>
      <c r="R37" s="164">
        <f t="shared" si="19"/>
        <v>2.0597075361888817</v>
      </c>
      <c r="S37" s="73">
        <f t="shared" si="19"/>
        <v>2.0611377588804953</v>
      </c>
    </row>
    <row r="38" spans="2:19" x14ac:dyDescent="0.2">
      <c r="B38" s="33"/>
      <c r="C38" s="15" t="s">
        <v>123</v>
      </c>
      <c r="F38" s="79">
        <f>E72</f>
        <v>5.4293250000000004</v>
      </c>
      <c r="H38" s="28" t="s">
        <v>42</v>
      </c>
      <c r="I38" s="31"/>
      <c r="J38" s="31"/>
      <c r="K38" s="31"/>
      <c r="L38" s="107">
        <f t="shared" ref="L38:S38" si="20">L22/$D$20</f>
        <v>0.10115291752577318</v>
      </c>
      <c r="M38" s="107">
        <f t="shared" si="20"/>
        <v>0.1012215386597938</v>
      </c>
      <c r="N38" s="107">
        <f t="shared" si="20"/>
        <v>0.10129221842783505</v>
      </c>
      <c r="O38" s="107">
        <f t="shared" si="20"/>
        <v>0.10136501858891751</v>
      </c>
      <c r="P38" s="107">
        <f t="shared" si="20"/>
        <v>8.9013443892673128E-2</v>
      </c>
      <c r="Q38" s="107">
        <f t="shared" si="20"/>
        <v>0.11792075513382672</v>
      </c>
      <c r="R38" s="107">
        <f t="shared" si="20"/>
        <v>0.11800030583544587</v>
      </c>
      <c r="S38" s="108">
        <f t="shared" si="20"/>
        <v>0.11808224305811361</v>
      </c>
    </row>
    <row r="39" spans="2:19" x14ac:dyDescent="0.2">
      <c r="B39" s="33"/>
      <c r="C39" s="15" t="s">
        <v>122</v>
      </c>
      <c r="D39" s="77">
        <v>0.03</v>
      </c>
      <c r="E39" s="15" t="s">
        <v>124</v>
      </c>
      <c r="F39" s="71">
        <f>-FV(D39,5,,F38)</f>
        <v>6.294075713448847</v>
      </c>
    </row>
    <row r="40" spans="2:19" x14ac:dyDescent="0.2">
      <c r="B40" s="33"/>
      <c r="C40" s="15" t="s">
        <v>67</v>
      </c>
      <c r="F40" s="78">
        <v>0.03</v>
      </c>
      <c r="H40" s="44" t="s">
        <v>87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</row>
    <row r="41" spans="2:19" x14ac:dyDescent="0.2">
      <c r="B41" s="33"/>
      <c r="C41" s="15" t="s">
        <v>200</v>
      </c>
      <c r="F41" s="78">
        <v>0.03</v>
      </c>
      <c r="H41" s="33" t="s">
        <v>80</v>
      </c>
      <c r="L41" s="18">
        <f>Amortization!K2</f>
        <v>307.91269591707623</v>
      </c>
      <c r="M41" s="18">
        <f>Amortization!L2</f>
        <v>302.34510222221292</v>
      </c>
      <c r="N41" s="18">
        <f>Amortization!M2</f>
        <v>296.55067616987026</v>
      </c>
      <c r="O41" s="18">
        <f>Amortization!N2</f>
        <v>290.52017625982057</v>
      </c>
      <c r="P41" s="18">
        <f>Amortization!O2</f>
        <v>284.24398447885784</v>
      </c>
      <c r="Q41" s="18">
        <f>Amortization!P2</f>
        <v>277.71209096107816</v>
      </c>
      <c r="R41" s="18">
        <f>Amortization!Q2</f>
        <v>270.9140780231964</v>
      </c>
      <c r="S41" s="27">
        <f>Amortization!R2</f>
        <v>263.83910354943657</v>
      </c>
    </row>
    <row r="42" spans="2:19" x14ac:dyDescent="0.2">
      <c r="B42" s="33"/>
      <c r="C42" s="15" t="s">
        <v>68</v>
      </c>
      <c r="F42" s="78">
        <v>0.05</v>
      </c>
      <c r="H42" s="33" t="s">
        <v>82</v>
      </c>
      <c r="L42" s="18">
        <f t="shared" ref="L42:S42" si="21">($E$10/1000)/$E$64</f>
        <v>171.7948717948718</v>
      </c>
      <c r="M42" s="18">
        <f t="shared" si="21"/>
        <v>171.7948717948718</v>
      </c>
      <c r="N42" s="18">
        <f t="shared" si="21"/>
        <v>171.7948717948718</v>
      </c>
      <c r="O42" s="18">
        <f t="shared" si="21"/>
        <v>171.7948717948718</v>
      </c>
      <c r="P42" s="18">
        <f t="shared" si="21"/>
        <v>171.7948717948718</v>
      </c>
      <c r="Q42" s="18">
        <f t="shared" si="21"/>
        <v>171.7948717948718</v>
      </c>
      <c r="R42" s="18">
        <f t="shared" si="21"/>
        <v>171.7948717948718</v>
      </c>
      <c r="S42" s="27">
        <f t="shared" si="21"/>
        <v>171.7948717948718</v>
      </c>
    </row>
    <row r="43" spans="2:19" x14ac:dyDescent="0.2">
      <c r="B43" s="26" t="s">
        <v>135</v>
      </c>
      <c r="F43" s="34"/>
      <c r="H43" s="33" t="s">
        <v>75</v>
      </c>
      <c r="L43" s="18">
        <f t="shared" ref="L43:S43" si="22">L18</f>
        <v>32</v>
      </c>
      <c r="M43" s="18">
        <f t="shared" si="22"/>
        <v>32</v>
      </c>
      <c r="N43" s="18">
        <f t="shared" si="22"/>
        <v>32</v>
      </c>
      <c r="O43" s="18">
        <f t="shared" si="22"/>
        <v>32</v>
      </c>
      <c r="P43" s="18">
        <f t="shared" si="22"/>
        <v>32</v>
      </c>
      <c r="Q43" s="18">
        <f t="shared" si="22"/>
        <v>32</v>
      </c>
      <c r="R43" s="18">
        <f t="shared" si="22"/>
        <v>32</v>
      </c>
      <c r="S43" s="27">
        <f t="shared" si="22"/>
        <v>32</v>
      </c>
    </row>
    <row r="44" spans="2:19" x14ac:dyDescent="0.2">
      <c r="B44" s="33"/>
      <c r="C44" s="92">
        <v>5</v>
      </c>
      <c r="D44" s="31" t="s">
        <v>11</v>
      </c>
      <c r="E44" s="87">
        <v>29757</v>
      </c>
      <c r="F44" s="32" t="s">
        <v>133</v>
      </c>
      <c r="H44" s="33" t="s">
        <v>100</v>
      </c>
      <c r="L44" s="18">
        <f t="shared" ref="L44:S44" si="23">L22-(-L43+L42)</f>
        <v>645.15176820512806</v>
      </c>
      <c r="M44" s="18">
        <f t="shared" si="23"/>
        <v>645.68426820512809</v>
      </c>
      <c r="N44" s="18">
        <f t="shared" si="23"/>
        <v>646.23274320512814</v>
      </c>
      <c r="O44" s="18">
        <f t="shared" si="23"/>
        <v>646.79767245512812</v>
      </c>
      <c r="P44" s="18">
        <f t="shared" si="23"/>
        <v>550.9494528122716</v>
      </c>
      <c r="Q44" s="18">
        <f t="shared" si="23"/>
        <v>775.27018804362353</v>
      </c>
      <c r="R44" s="18">
        <f t="shared" si="23"/>
        <v>775.88750148818804</v>
      </c>
      <c r="S44" s="27">
        <f t="shared" si="23"/>
        <v>776.52333433608987</v>
      </c>
    </row>
    <row r="45" spans="2:19" x14ac:dyDescent="0.2">
      <c r="B45" s="33"/>
      <c r="C45" s="15" t="s">
        <v>127</v>
      </c>
      <c r="D45" s="15" t="s">
        <v>131</v>
      </c>
      <c r="E45" s="19">
        <f>E44</f>
        <v>29757</v>
      </c>
      <c r="F45" s="34"/>
      <c r="H45" s="33" t="s">
        <v>90</v>
      </c>
      <c r="I45" s="15" t="s">
        <v>91</v>
      </c>
      <c r="L45" s="18">
        <f>$L$22-($L$41-$L$43+$L$42)</f>
        <v>337.23907228805183</v>
      </c>
      <c r="M45" s="18">
        <f t="shared" ref="M45:S45" si="24">M22-(M41-M43+M42)</f>
        <v>343.33916598291523</v>
      </c>
      <c r="N45" s="18">
        <f t="shared" si="24"/>
        <v>349.68206703525789</v>
      </c>
      <c r="O45" s="18">
        <f t="shared" si="24"/>
        <v>356.27749619530755</v>
      </c>
      <c r="P45" s="18">
        <f t="shared" si="24"/>
        <v>266.70546833341382</v>
      </c>
      <c r="Q45" s="18">
        <f t="shared" si="24"/>
        <v>497.55809708254537</v>
      </c>
      <c r="R45" s="18">
        <f t="shared" si="24"/>
        <v>504.9734234649917</v>
      </c>
      <c r="S45" s="27">
        <f t="shared" si="24"/>
        <v>512.6842307866533</v>
      </c>
    </row>
    <row r="46" spans="2:19" x14ac:dyDescent="0.2">
      <c r="B46" s="33"/>
      <c r="D46" s="15" t="s">
        <v>129</v>
      </c>
      <c r="E46" s="74">
        <v>7.0000000000000007E-2</v>
      </c>
      <c r="F46" s="34"/>
      <c r="H46" s="33" t="s">
        <v>102</v>
      </c>
      <c r="L46" s="18">
        <f t="shared" ref="L46:S47" si="25">L44*$D$63</f>
        <v>238.70615423589737</v>
      </c>
      <c r="M46" s="18">
        <f t="shared" si="25"/>
        <v>238.9031792358974</v>
      </c>
      <c r="N46" s="18">
        <f t="shared" si="25"/>
        <v>239.10611498589742</v>
      </c>
      <c r="O46" s="18">
        <f t="shared" si="25"/>
        <v>239.31513880839739</v>
      </c>
      <c r="P46" s="18">
        <f t="shared" si="25"/>
        <v>203.85129754054049</v>
      </c>
      <c r="Q46" s="18">
        <f t="shared" si="25"/>
        <v>286.84996957614072</v>
      </c>
      <c r="R46" s="18">
        <f t="shared" si="25"/>
        <v>287.07837555062957</v>
      </c>
      <c r="S46" s="27">
        <f t="shared" si="25"/>
        <v>287.31363370435326</v>
      </c>
    </row>
    <row r="47" spans="2:19" x14ac:dyDescent="0.2">
      <c r="B47" s="33"/>
      <c r="D47" s="15" t="s">
        <v>132</v>
      </c>
      <c r="E47" s="20">
        <f>((E45*F39)/1000)*E46</f>
        <v>13.110496770356816</v>
      </c>
      <c r="F47" s="34"/>
      <c r="H47" s="33" t="s">
        <v>101</v>
      </c>
      <c r="L47" s="18">
        <f t="shared" si="25"/>
        <v>124.77845674657918</v>
      </c>
      <c r="M47" s="18">
        <f t="shared" si="25"/>
        <v>127.03549141367863</v>
      </c>
      <c r="N47" s="18">
        <f t="shared" si="25"/>
        <v>129.38236480304542</v>
      </c>
      <c r="O47" s="18">
        <f t="shared" si="25"/>
        <v>131.82267359226378</v>
      </c>
      <c r="P47" s="18">
        <f t="shared" si="25"/>
        <v>98.681023283363118</v>
      </c>
      <c r="Q47" s="18">
        <f t="shared" si="25"/>
        <v>184.0964959205418</v>
      </c>
      <c r="R47" s="18">
        <f t="shared" si="25"/>
        <v>186.84016668204691</v>
      </c>
      <c r="S47" s="27">
        <f t="shared" si="25"/>
        <v>189.69316539106171</v>
      </c>
    </row>
    <row r="48" spans="2:19" x14ac:dyDescent="0.2">
      <c r="B48" s="33"/>
      <c r="C48" s="15" t="s">
        <v>130</v>
      </c>
      <c r="D48" s="15" t="s">
        <v>131</v>
      </c>
      <c r="E48" s="19">
        <f>E44</f>
        <v>29757</v>
      </c>
      <c r="F48" s="34"/>
      <c r="H48" s="33"/>
      <c r="S48" s="34"/>
    </row>
    <row r="49" spans="2:19" x14ac:dyDescent="0.2">
      <c r="B49" s="33"/>
      <c r="D49" s="15" t="s">
        <v>134</v>
      </c>
      <c r="E49" s="85">
        <v>2.8</v>
      </c>
      <c r="F49" s="34"/>
      <c r="H49" s="33" t="s">
        <v>104</v>
      </c>
      <c r="L49" s="18">
        <f t="shared" ref="L49:S49" si="26">L22-L46</f>
        <v>546.24048576410246</v>
      </c>
      <c r="M49" s="18">
        <f t="shared" si="26"/>
        <v>546.57596076410255</v>
      </c>
      <c r="N49" s="18">
        <f t="shared" si="26"/>
        <v>546.92150001410255</v>
      </c>
      <c r="O49" s="18">
        <f t="shared" si="26"/>
        <v>547.27740544160258</v>
      </c>
      <c r="P49" s="18">
        <f t="shared" si="26"/>
        <v>486.89302706660294</v>
      </c>
      <c r="Q49" s="18">
        <f t="shared" si="26"/>
        <v>628.21509026235458</v>
      </c>
      <c r="R49" s="18">
        <f t="shared" si="26"/>
        <v>628.60399773243034</v>
      </c>
      <c r="S49" s="27">
        <f t="shared" si="26"/>
        <v>629.00457242660843</v>
      </c>
    </row>
    <row r="50" spans="2:19" x14ac:dyDescent="0.2">
      <c r="B50" s="28"/>
      <c r="C50" s="31"/>
      <c r="D50" s="31" t="s">
        <v>132</v>
      </c>
      <c r="E50" s="35">
        <f>(E49*E48)/1000</f>
        <v>83.319599999999994</v>
      </c>
      <c r="F50" s="32"/>
      <c r="H50" s="28" t="s">
        <v>103</v>
      </c>
      <c r="I50" s="31"/>
      <c r="J50" s="31"/>
      <c r="K50" s="31"/>
      <c r="L50" s="35">
        <f t="shared" ref="L50:S50" si="27">L31-L47</f>
        <v>215.59906011598474</v>
      </c>
      <c r="M50" s="35">
        <f t="shared" si="27"/>
        <v>213.87452544888532</v>
      </c>
      <c r="N50" s="35">
        <f t="shared" si="27"/>
        <v>212.0761270595186</v>
      </c>
      <c r="O50" s="35">
        <f t="shared" si="27"/>
        <v>210.20074752030021</v>
      </c>
      <c r="P50" s="35">
        <f t="shared" si="27"/>
        <v>147.49417818634436</v>
      </c>
      <c r="Q50" s="35">
        <f t="shared" si="27"/>
        <v>286.39944078051758</v>
      </c>
      <c r="R50" s="35">
        <f t="shared" si="27"/>
        <v>284.273083463577</v>
      </c>
      <c r="S50" s="36">
        <f t="shared" si="27"/>
        <v>282.05591760246404</v>
      </c>
    </row>
    <row r="52" spans="2:19" x14ac:dyDescent="0.2">
      <c r="H52" s="44" t="s">
        <v>92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</row>
    <row r="53" spans="2:19" x14ac:dyDescent="0.2">
      <c r="B53" s="173" t="s">
        <v>46</v>
      </c>
      <c r="C53" s="174"/>
      <c r="D53" s="174"/>
      <c r="E53" s="174"/>
      <c r="F53" s="175"/>
      <c r="H53" s="33"/>
      <c r="I53" s="15" t="s">
        <v>93</v>
      </c>
      <c r="K53" s="18">
        <f>-D27</f>
        <v>-10000</v>
      </c>
      <c r="S53" s="34"/>
    </row>
    <row r="54" spans="2:19" x14ac:dyDescent="0.2">
      <c r="B54" s="33"/>
      <c r="C54" s="37" t="s">
        <v>47</v>
      </c>
      <c r="D54" s="88">
        <v>5</v>
      </c>
      <c r="E54" s="171" t="s">
        <v>198</v>
      </c>
      <c r="F54" s="34"/>
      <c r="H54" s="33"/>
      <c r="I54" s="15" t="s">
        <v>36</v>
      </c>
      <c r="K54" s="18">
        <f>-D21</f>
        <v>-2240</v>
      </c>
      <c r="S54" s="34"/>
    </row>
    <row r="55" spans="2:19" x14ac:dyDescent="0.2">
      <c r="B55" s="33"/>
      <c r="C55" s="15" t="s">
        <v>6</v>
      </c>
      <c r="D55" s="18">
        <f>FV($E$32/12,D54*12,Amortization!D7,-'New Rent Projections'!D20)</f>
        <v>7018.7270193606364</v>
      </c>
      <c r="F55" s="34"/>
      <c r="H55" s="33"/>
      <c r="I55" s="15" t="s">
        <v>97</v>
      </c>
      <c r="L55" s="18" t="str">
        <f t="shared" ref="L55:R55" si="28">IF($D$54=L$3,M22/$D$57," ")</f>
        <v xml:space="preserve"> </v>
      </c>
      <c r="M55" s="18" t="str">
        <f t="shared" si="28"/>
        <v xml:space="preserve"> </v>
      </c>
      <c r="N55" s="18" t="str">
        <f t="shared" si="28"/>
        <v xml:space="preserve"> </v>
      </c>
      <c r="O55" s="18" t="str">
        <f t="shared" si="28"/>
        <v xml:space="preserve"> </v>
      </c>
      <c r="P55" s="18">
        <f t="shared" si="28"/>
        <v>13072.35799769279</v>
      </c>
      <c r="Q55" s="18" t="str">
        <f t="shared" si="28"/>
        <v xml:space="preserve"> </v>
      </c>
      <c r="R55" s="18" t="str">
        <f t="shared" si="28"/>
        <v xml:space="preserve"> </v>
      </c>
      <c r="S55" s="34"/>
    </row>
    <row r="56" spans="2:19" x14ac:dyDescent="0.2">
      <c r="B56" s="33"/>
      <c r="C56" s="15" t="s">
        <v>48</v>
      </c>
      <c r="D56" s="18">
        <f>IF(D54=P3,Q22,IF(D54=Q3,R22,IF(D54=R3,S22,IF(D54=O3,P22,IF(D54=N3,O22,IF(D54=M3,N22,0))))))</f>
        <v>915.06505983849536</v>
      </c>
      <c r="F56" s="34"/>
      <c r="H56" s="33"/>
      <c r="I56" s="15" t="s">
        <v>94</v>
      </c>
      <c r="L56" s="18" t="str">
        <f t="shared" ref="L56:R56" si="29">IF($D$54=L$3,L55*-$E$59," ")</f>
        <v xml:space="preserve"> </v>
      </c>
      <c r="M56" s="18" t="str">
        <f t="shared" si="29"/>
        <v xml:space="preserve"> </v>
      </c>
      <c r="N56" s="18" t="str">
        <f t="shared" si="29"/>
        <v xml:space="preserve"> </v>
      </c>
      <c r="O56" s="18" t="str">
        <f t="shared" si="29"/>
        <v xml:space="preserve"> </v>
      </c>
      <c r="P56" s="18">
        <f t="shared" si="29"/>
        <v>-653.61789988463954</v>
      </c>
      <c r="Q56" s="18" t="str">
        <f t="shared" si="29"/>
        <v xml:space="preserve"> </v>
      </c>
      <c r="R56" s="18" t="str">
        <f t="shared" si="29"/>
        <v xml:space="preserve"> </v>
      </c>
      <c r="S56" s="34"/>
    </row>
    <row r="57" spans="2:19" x14ac:dyDescent="0.2">
      <c r="B57" s="33"/>
      <c r="C57" s="15" t="s">
        <v>49</v>
      </c>
      <c r="D57" s="162">
        <v>7.0000000000000007E-2</v>
      </c>
      <c r="F57" s="34"/>
      <c r="H57" s="33"/>
      <c r="I57" s="15" t="s">
        <v>86</v>
      </c>
      <c r="L57" s="18" t="str">
        <f t="shared" ref="L57:R57" si="30">IF($D$54=L$3,L56+L55," ")</f>
        <v xml:space="preserve"> </v>
      </c>
      <c r="M57" s="18" t="str">
        <f t="shared" si="30"/>
        <v xml:space="preserve"> </v>
      </c>
      <c r="N57" s="18" t="str">
        <f t="shared" si="30"/>
        <v xml:space="preserve"> </v>
      </c>
      <c r="O57" s="18" t="str">
        <f t="shared" si="30"/>
        <v xml:space="preserve"> </v>
      </c>
      <c r="P57" s="18">
        <f t="shared" si="30"/>
        <v>12418.740097808151</v>
      </c>
      <c r="Q57" s="18" t="str">
        <f t="shared" si="30"/>
        <v xml:space="preserve"> </v>
      </c>
      <c r="R57" s="18" t="str">
        <f t="shared" si="30"/>
        <v xml:space="preserve"> </v>
      </c>
      <c r="S57" s="34"/>
    </row>
    <row r="58" spans="2:19" x14ac:dyDescent="0.2">
      <c r="B58" s="33"/>
      <c r="C58" s="15" t="s">
        <v>54</v>
      </c>
      <c r="D58" s="18">
        <f>D56/D57</f>
        <v>13072.35799769279</v>
      </c>
      <c r="F58" s="34"/>
      <c r="H58" s="33"/>
      <c r="I58" s="15" t="s">
        <v>95</v>
      </c>
      <c r="L58" s="18" t="str">
        <f t="shared" ref="L58:R58" si="31">IF($D$54=L$3,$D$25-(L42*L3)+(L43*L3)," ")</f>
        <v xml:space="preserve"> </v>
      </c>
      <c r="M58" s="18" t="str">
        <f t="shared" si="31"/>
        <v xml:space="preserve"> </v>
      </c>
      <c r="N58" s="18" t="str">
        <f t="shared" si="31"/>
        <v xml:space="preserve"> </v>
      </c>
      <c r="O58" s="18" t="str">
        <f t="shared" si="31"/>
        <v xml:space="preserve"> </v>
      </c>
      <c r="P58" s="18">
        <f t="shared" si="31"/>
        <v>9301.0256410256407</v>
      </c>
      <c r="Q58" s="18" t="str">
        <f t="shared" si="31"/>
        <v xml:space="preserve"> </v>
      </c>
      <c r="R58" s="18" t="str">
        <f t="shared" si="31"/>
        <v xml:space="preserve"> </v>
      </c>
      <c r="S58" s="34"/>
    </row>
    <row r="59" spans="2:19" x14ac:dyDescent="0.2">
      <c r="B59" s="33"/>
      <c r="C59" s="15" t="s">
        <v>84</v>
      </c>
      <c r="D59" s="20">
        <f>D58*-E59</f>
        <v>-653.61789988463954</v>
      </c>
      <c r="E59" s="74">
        <v>0.05</v>
      </c>
      <c r="F59" s="34"/>
      <c r="H59" s="33"/>
      <c r="I59" s="15" t="s">
        <v>56</v>
      </c>
      <c r="L59" s="18" t="str">
        <f t="shared" ref="L59:R59" si="32">IF($D$54=L$3,L57-L58," ")</f>
        <v xml:space="preserve"> </v>
      </c>
      <c r="M59" s="18" t="str">
        <f t="shared" si="32"/>
        <v xml:space="preserve"> </v>
      </c>
      <c r="N59" s="18" t="str">
        <f t="shared" si="32"/>
        <v xml:space="preserve"> </v>
      </c>
      <c r="O59" s="18" t="str">
        <f t="shared" si="32"/>
        <v xml:space="preserve"> </v>
      </c>
      <c r="P59" s="18">
        <f t="shared" si="32"/>
        <v>3117.7144567825108</v>
      </c>
      <c r="Q59" s="18" t="str">
        <f t="shared" si="32"/>
        <v xml:space="preserve"> </v>
      </c>
      <c r="R59" s="18" t="str">
        <f t="shared" si="32"/>
        <v xml:space="preserve"> </v>
      </c>
      <c r="S59" s="34"/>
    </row>
    <row r="60" spans="2:19" x14ac:dyDescent="0.2">
      <c r="B60" s="28"/>
      <c r="C60" s="31" t="s">
        <v>55</v>
      </c>
      <c r="D60" s="35">
        <f>D59+D58</f>
        <v>12418.740097808151</v>
      </c>
      <c r="E60" s="53"/>
      <c r="F60" s="32"/>
      <c r="H60" s="33"/>
      <c r="I60" s="15" t="s">
        <v>6</v>
      </c>
      <c r="L60" s="18" t="str">
        <f>IF($D$54=L$3,-Amortization!K3," ")</f>
        <v xml:space="preserve"> </v>
      </c>
      <c r="M60" s="18" t="str">
        <f>IF($D$54=M$3,-Amortization!L3," ")</f>
        <v xml:space="preserve"> </v>
      </c>
      <c r="N60" s="18" t="str">
        <f>IF($D$54=N$3,-Amortization!M3," ")</f>
        <v xml:space="preserve"> </v>
      </c>
      <c r="O60" s="18" t="str">
        <f>IF($D$54=O$3,-Amortization!N3," ")</f>
        <v xml:space="preserve"> </v>
      </c>
      <c r="P60" s="18">
        <f>IF($D$54=P$3,-Amortization!O3," ")</f>
        <v>-7018.7270193606364</v>
      </c>
      <c r="Q60" s="18" t="str">
        <f>IF($D$54=Q$3,-Amortization!P3," ")</f>
        <v xml:space="preserve"> </v>
      </c>
      <c r="R60" s="18" t="str">
        <f>IF($D$54=R$3,-Amortization!Q3," ")</f>
        <v xml:space="preserve"> </v>
      </c>
      <c r="S60" s="34"/>
    </row>
    <row r="61" spans="2:19" x14ac:dyDescent="0.2">
      <c r="D61" s="20"/>
      <c r="E61" s="21"/>
      <c r="H61" s="33"/>
      <c r="I61" s="15" t="s">
        <v>96</v>
      </c>
      <c r="L61" s="18" t="str">
        <f t="shared" ref="L61:R61" si="33">IF($D$54=L$3,L60+L57," ")</f>
        <v xml:space="preserve"> </v>
      </c>
      <c r="M61" s="18" t="str">
        <f t="shared" si="33"/>
        <v xml:space="preserve"> </v>
      </c>
      <c r="N61" s="18" t="str">
        <f t="shared" si="33"/>
        <v xml:space="preserve"> </v>
      </c>
      <c r="O61" s="18" t="str">
        <f t="shared" si="33"/>
        <v xml:space="preserve"> </v>
      </c>
      <c r="P61" s="18">
        <f t="shared" si="33"/>
        <v>5400.013078447515</v>
      </c>
      <c r="Q61" s="18" t="str">
        <f t="shared" si="33"/>
        <v xml:space="preserve"> </v>
      </c>
      <c r="R61" s="18" t="str">
        <f t="shared" si="33"/>
        <v xml:space="preserve"> </v>
      </c>
      <c r="S61" s="34"/>
    </row>
    <row r="62" spans="2:19" x14ac:dyDescent="0.2">
      <c r="B62" s="54" t="s">
        <v>50</v>
      </c>
      <c r="C62" s="55"/>
      <c r="D62" s="47" t="s">
        <v>41</v>
      </c>
      <c r="E62" s="47" t="s">
        <v>32</v>
      </c>
      <c r="F62" s="56"/>
      <c r="H62" s="33"/>
      <c r="I62" s="15" t="s">
        <v>57</v>
      </c>
      <c r="L62" s="18" t="str">
        <f t="shared" ref="L62:R62" si="34">IF($D$54=L$3,L42*L3," ")</f>
        <v xml:space="preserve"> </v>
      </c>
      <c r="M62" s="18" t="str">
        <f t="shared" si="34"/>
        <v xml:space="preserve"> </v>
      </c>
      <c r="N62" s="18" t="str">
        <f t="shared" si="34"/>
        <v xml:space="preserve"> </v>
      </c>
      <c r="O62" s="18" t="str">
        <f t="shared" si="34"/>
        <v xml:space="preserve"> </v>
      </c>
      <c r="P62" s="18">
        <f t="shared" si="34"/>
        <v>858.97435897435901</v>
      </c>
      <c r="Q62" s="18" t="str">
        <f t="shared" si="34"/>
        <v xml:space="preserve"> </v>
      </c>
      <c r="R62" s="18" t="str">
        <f t="shared" si="34"/>
        <v xml:space="preserve"> </v>
      </c>
      <c r="S62" s="34"/>
    </row>
    <row r="63" spans="2:19" x14ac:dyDescent="0.2">
      <c r="B63" s="57" t="s">
        <v>51</v>
      </c>
      <c r="D63" s="89">
        <v>0.37</v>
      </c>
      <c r="E63" s="90"/>
      <c r="F63" s="34"/>
      <c r="H63" s="33"/>
      <c r="I63" s="15" t="s">
        <v>58</v>
      </c>
      <c r="L63" s="18" t="str">
        <f t="shared" ref="L63:R63" si="35">IF($D$54=L$3,L62*-$D$64," ")</f>
        <v xml:space="preserve"> </v>
      </c>
      <c r="M63" s="18" t="str">
        <f t="shared" si="35"/>
        <v xml:space="preserve"> </v>
      </c>
      <c r="N63" s="18" t="str">
        <f t="shared" si="35"/>
        <v xml:space="preserve"> </v>
      </c>
      <c r="O63" s="18" t="str">
        <f t="shared" si="35"/>
        <v xml:space="preserve"> </v>
      </c>
      <c r="P63" s="18">
        <f t="shared" si="35"/>
        <v>-214.74358974358975</v>
      </c>
      <c r="Q63" s="18" t="str">
        <f t="shared" si="35"/>
        <v xml:space="preserve"> </v>
      </c>
      <c r="R63" s="18" t="str">
        <f t="shared" si="35"/>
        <v xml:space="preserve"> </v>
      </c>
      <c r="S63" s="34"/>
    </row>
    <row r="64" spans="2:19" x14ac:dyDescent="0.2">
      <c r="B64" s="57" t="s">
        <v>52</v>
      </c>
      <c r="D64" s="89">
        <v>0.25</v>
      </c>
      <c r="E64" s="90">
        <v>39</v>
      </c>
      <c r="F64" s="34"/>
      <c r="H64" s="33"/>
      <c r="I64" s="15" t="s">
        <v>59</v>
      </c>
      <c r="L64" s="18" t="str">
        <f t="shared" ref="L64:R64" si="36">IF($D$54=L$3,L59-L62," ")</f>
        <v xml:space="preserve"> </v>
      </c>
      <c r="M64" s="18" t="str">
        <f t="shared" si="36"/>
        <v xml:space="preserve"> </v>
      </c>
      <c r="N64" s="18" t="str">
        <f t="shared" si="36"/>
        <v xml:space="preserve"> </v>
      </c>
      <c r="O64" s="18" t="str">
        <f t="shared" si="36"/>
        <v xml:space="preserve"> </v>
      </c>
      <c r="P64" s="18">
        <f t="shared" si="36"/>
        <v>2258.7400978081519</v>
      </c>
      <c r="Q64" s="18" t="str">
        <f t="shared" si="36"/>
        <v xml:space="preserve"> </v>
      </c>
      <c r="R64" s="18" t="str">
        <f t="shared" si="36"/>
        <v xml:space="preserve"> </v>
      </c>
      <c r="S64" s="34"/>
    </row>
    <row r="65" spans="2:19" x14ac:dyDescent="0.2">
      <c r="B65" s="58" t="s">
        <v>53</v>
      </c>
      <c r="C65" s="31"/>
      <c r="D65" s="91">
        <v>0.2</v>
      </c>
      <c r="E65" s="92"/>
      <c r="F65" s="32"/>
      <c r="H65" s="33"/>
      <c r="I65" s="15" t="s">
        <v>60</v>
      </c>
      <c r="L65" s="18" t="str">
        <f t="shared" ref="L65:R65" si="37">IF($D$54=L$3,L64*-$D$65," ")</f>
        <v xml:space="preserve"> </v>
      </c>
      <c r="M65" s="18" t="str">
        <f t="shared" si="37"/>
        <v xml:space="preserve"> </v>
      </c>
      <c r="N65" s="18" t="str">
        <f t="shared" si="37"/>
        <v xml:space="preserve"> </v>
      </c>
      <c r="O65" s="18" t="str">
        <f t="shared" si="37"/>
        <v xml:space="preserve"> </v>
      </c>
      <c r="P65" s="18">
        <f t="shared" si="37"/>
        <v>-451.74801956163037</v>
      </c>
      <c r="Q65" s="18" t="str">
        <f t="shared" si="37"/>
        <v xml:space="preserve"> </v>
      </c>
      <c r="R65" s="18" t="str">
        <f t="shared" si="37"/>
        <v xml:space="preserve"> </v>
      </c>
      <c r="S65" s="34"/>
    </row>
    <row r="66" spans="2:19" x14ac:dyDescent="0.2">
      <c r="H66" s="33"/>
      <c r="I66" s="15" t="s">
        <v>61</v>
      </c>
      <c r="L66" s="18" t="str">
        <f t="shared" ref="L66:R66" si="38">IF($D$54=L$3,L65+L63," ")</f>
        <v xml:space="preserve"> </v>
      </c>
      <c r="M66" s="18" t="str">
        <f t="shared" si="38"/>
        <v xml:space="preserve"> </v>
      </c>
      <c r="N66" s="18" t="str">
        <f t="shared" si="38"/>
        <v xml:space="preserve"> </v>
      </c>
      <c r="O66" s="18" t="str">
        <f t="shared" si="38"/>
        <v xml:space="preserve"> </v>
      </c>
      <c r="P66" s="18">
        <f t="shared" si="38"/>
        <v>-666.49160930522009</v>
      </c>
      <c r="Q66" s="18" t="str">
        <f t="shared" si="38"/>
        <v xml:space="preserve"> </v>
      </c>
      <c r="R66" s="18" t="str">
        <f t="shared" si="38"/>
        <v xml:space="preserve"> </v>
      </c>
      <c r="S66" s="34"/>
    </row>
    <row r="67" spans="2:19" x14ac:dyDescent="0.2">
      <c r="B67" s="173" t="s">
        <v>202</v>
      </c>
      <c r="C67" s="174"/>
      <c r="D67" s="174"/>
      <c r="E67" s="174"/>
      <c r="F67" s="175"/>
      <c r="H67" s="26" t="s">
        <v>106</v>
      </c>
      <c r="J67" s="37"/>
      <c r="K67" s="37"/>
      <c r="L67" s="59" t="str">
        <f t="shared" ref="L67:R67" si="39">IF($D$54=L$3,L57-L66," ")</f>
        <v xml:space="preserve"> </v>
      </c>
      <c r="M67" s="59" t="str">
        <f t="shared" si="39"/>
        <v xml:space="preserve"> </v>
      </c>
      <c r="N67" s="59" t="str">
        <f t="shared" si="39"/>
        <v xml:space="preserve"> </v>
      </c>
      <c r="O67" s="59" t="str">
        <f t="shared" si="39"/>
        <v xml:space="preserve"> </v>
      </c>
      <c r="P67" s="59">
        <f t="shared" si="39"/>
        <v>13085.231707113371</v>
      </c>
      <c r="Q67" s="59" t="str">
        <f t="shared" si="39"/>
        <v xml:space="preserve"> </v>
      </c>
      <c r="R67" s="59" t="str">
        <f t="shared" si="39"/>
        <v xml:space="preserve"> </v>
      </c>
      <c r="S67" s="124"/>
    </row>
    <row r="68" spans="2:19" x14ac:dyDescent="0.2">
      <c r="B68" s="116" t="s">
        <v>136</v>
      </c>
      <c r="C68" s="64" t="s">
        <v>196</v>
      </c>
      <c r="D68" s="64" t="s">
        <v>113</v>
      </c>
      <c r="E68" s="64" t="s">
        <v>195</v>
      </c>
      <c r="F68" s="117" t="s">
        <v>33</v>
      </c>
      <c r="H68" s="163" t="s">
        <v>105</v>
      </c>
      <c r="I68" s="31"/>
      <c r="J68" s="29"/>
      <c r="K68" s="29"/>
      <c r="L68" s="125" t="str">
        <f t="shared" ref="L68:R68" si="40">IF($D$54=L$3,L66+L61," ")</f>
        <v xml:space="preserve"> </v>
      </c>
      <c r="M68" s="125" t="str">
        <f t="shared" si="40"/>
        <v xml:space="preserve"> </v>
      </c>
      <c r="N68" s="125" t="str">
        <f t="shared" si="40"/>
        <v xml:space="preserve"> </v>
      </c>
      <c r="O68" s="125" t="str">
        <f t="shared" si="40"/>
        <v xml:space="preserve"> </v>
      </c>
      <c r="P68" s="125">
        <f t="shared" si="40"/>
        <v>4733.5214691422952</v>
      </c>
      <c r="Q68" s="125" t="str">
        <f t="shared" si="40"/>
        <v xml:space="preserve"> </v>
      </c>
      <c r="R68" s="125" t="str">
        <f t="shared" si="40"/>
        <v xml:space="preserve"> </v>
      </c>
      <c r="S68" s="126"/>
    </row>
    <row r="69" spans="2:19" x14ac:dyDescent="0.2">
      <c r="B69" s="33" t="s">
        <v>139</v>
      </c>
      <c r="C69" s="112">
        <v>79875</v>
      </c>
      <c r="D69" s="113">
        <v>4.8</v>
      </c>
      <c r="E69" s="122">
        <v>4.95</v>
      </c>
      <c r="F69" s="114">
        <f>E69*C69</f>
        <v>395381.25</v>
      </c>
    </row>
    <row r="70" spans="2:19" x14ac:dyDescent="0.2">
      <c r="B70" s="33" t="s">
        <v>138</v>
      </c>
      <c r="C70" s="112">
        <v>29757</v>
      </c>
      <c r="D70" s="113">
        <v>5.36</v>
      </c>
      <c r="E70" s="122">
        <v>5.75</v>
      </c>
      <c r="F70" s="114">
        <f>E70*C70</f>
        <v>171102.75</v>
      </c>
      <c r="H70" s="44" t="s">
        <v>201</v>
      </c>
      <c r="I70" s="42"/>
      <c r="J70" s="42"/>
      <c r="K70" s="42"/>
      <c r="L70" s="42"/>
      <c r="M70" s="42"/>
      <c r="N70" s="42"/>
      <c r="O70" s="42"/>
      <c r="P70" s="42"/>
      <c r="Q70" s="42"/>
      <c r="R70" s="43"/>
    </row>
    <row r="71" spans="2:19" x14ac:dyDescent="0.2">
      <c r="B71" s="28" t="s">
        <v>137</v>
      </c>
      <c r="C71" s="110">
        <v>50368</v>
      </c>
      <c r="D71" s="111">
        <v>5.58</v>
      </c>
      <c r="E71" s="123">
        <v>6</v>
      </c>
      <c r="F71" s="115">
        <f>E71*C71</f>
        <v>302208</v>
      </c>
      <c r="H71" s="22" t="s">
        <v>197</v>
      </c>
      <c r="I71" s="23"/>
      <c r="J71" s="23"/>
      <c r="K71" s="24">
        <f>K53</f>
        <v>-10000</v>
      </c>
      <c r="L71" s="24">
        <f t="shared" ref="L71:R71" si="41">IF($D$54=L$3,L67+L49,IF($D$54&lt;L$3," ",L49))</f>
        <v>546.24048576410246</v>
      </c>
      <c r="M71" s="24">
        <f t="shared" si="41"/>
        <v>546.57596076410255</v>
      </c>
      <c r="N71" s="24">
        <f t="shared" si="41"/>
        <v>546.92150001410255</v>
      </c>
      <c r="O71" s="24">
        <f t="shared" si="41"/>
        <v>547.27740544160258</v>
      </c>
      <c r="P71" s="24">
        <f t="shared" si="41"/>
        <v>13572.124734179974</v>
      </c>
      <c r="Q71" s="24" t="str">
        <f t="shared" si="41"/>
        <v xml:space="preserve"> </v>
      </c>
      <c r="R71" s="25" t="str">
        <f t="shared" si="41"/>
        <v xml:space="preserve"> </v>
      </c>
    </row>
    <row r="72" spans="2:19" x14ac:dyDescent="0.2">
      <c r="B72" s="28"/>
      <c r="C72" s="31"/>
      <c r="D72" s="31"/>
      <c r="E72" s="121">
        <f>F72/E11</f>
        <v>5.4293250000000004</v>
      </c>
      <c r="F72" s="36">
        <f>SUM(F69:F71)</f>
        <v>868692</v>
      </c>
      <c r="H72" s="26" t="s">
        <v>83</v>
      </c>
      <c r="J72" s="38">
        <f>IF($D$54=$L$3,IRR(K71:L71),IF($D$54=$M$3,IRR(K71:M71),IF($D$54=$N$3,IRR(K71:N71),IF($D$54=$O$3,IRR(K71:O71),IF($D$54=$P$3,IRR(K71:P71),IF($D$54=$Q$3,IRR(K71:Q71),IF($D$54=$R$3,IRR(K71:R71),IF($D$54=$S$3,IRR(K70:S70),0))))))))</f>
        <v>0.10384848349222486</v>
      </c>
      <c r="R72" s="34"/>
    </row>
    <row r="73" spans="2:19" x14ac:dyDescent="0.2">
      <c r="H73" s="33" t="s">
        <v>189</v>
      </c>
      <c r="J73" s="103">
        <f>SUM(L71:R71)/-K71</f>
        <v>1.5759140086163883</v>
      </c>
      <c r="R73" s="34"/>
    </row>
    <row r="74" spans="2:19" x14ac:dyDescent="0.2">
      <c r="B74" s="166" t="s">
        <v>209</v>
      </c>
      <c r="C74" s="23"/>
      <c r="D74" s="165">
        <v>0.1</v>
      </c>
      <c r="E74" s="20"/>
      <c r="F74" s="18"/>
      <c r="H74" s="28" t="s">
        <v>191</v>
      </c>
      <c r="I74" s="31"/>
      <c r="J74" s="31"/>
      <c r="K74" s="31"/>
      <c r="L74" s="105">
        <f t="shared" ref="L74:R74" si="42">IF($D$54&gt;L3,L71/-$K$71,IF($D$54=L3,L71/-$K$71," "))</f>
        <v>5.4624048576410247E-2</v>
      </c>
      <c r="M74" s="105">
        <f t="shared" si="42"/>
        <v>5.4657596076410256E-2</v>
      </c>
      <c r="N74" s="105">
        <f t="shared" si="42"/>
        <v>5.4692150001410256E-2</v>
      </c>
      <c r="O74" s="105">
        <f t="shared" si="42"/>
        <v>5.4727740544160255E-2</v>
      </c>
      <c r="P74" s="105">
        <f t="shared" si="42"/>
        <v>1.3572124734179973</v>
      </c>
      <c r="Q74" s="105" t="str">
        <f t="shared" si="42"/>
        <v xml:space="preserve"> </v>
      </c>
      <c r="R74" s="118" t="str">
        <f t="shared" si="42"/>
        <v xml:space="preserve"> </v>
      </c>
    </row>
    <row r="75" spans="2:19" x14ac:dyDescent="0.2">
      <c r="B75" s="33" t="s">
        <v>212</v>
      </c>
      <c r="D75" s="27">
        <f>NPV(D74,L76:R76)+K76</f>
        <v>1466.3875173896863</v>
      </c>
      <c r="E75" s="20"/>
      <c r="F75" s="18"/>
      <c r="H75" s="33"/>
      <c r="R75" s="34"/>
    </row>
    <row r="76" spans="2:19" x14ac:dyDescent="0.2">
      <c r="B76" s="33" t="s">
        <v>213</v>
      </c>
      <c r="D76" s="27">
        <f>NPV(D74,L71:R71)+K71</f>
        <v>160.22762613522173</v>
      </c>
      <c r="E76" s="20"/>
      <c r="F76" s="18"/>
      <c r="H76" s="22" t="s">
        <v>98</v>
      </c>
      <c r="I76" s="23"/>
      <c r="J76" s="23"/>
      <c r="K76" s="24">
        <f>K54</f>
        <v>-2240</v>
      </c>
      <c r="L76" s="24">
        <f t="shared" ref="L76:R76" si="43">IF($D$54=L$3,L68+L50,IF($D$54&lt;L$3," ",L50))</f>
        <v>215.59906011598474</v>
      </c>
      <c r="M76" s="24">
        <f t="shared" si="43"/>
        <v>213.87452544888532</v>
      </c>
      <c r="N76" s="24">
        <f t="shared" si="43"/>
        <v>212.0761270595186</v>
      </c>
      <c r="O76" s="24">
        <f t="shared" si="43"/>
        <v>210.20074752030021</v>
      </c>
      <c r="P76" s="24">
        <f t="shared" si="43"/>
        <v>4881.0156473286397</v>
      </c>
      <c r="Q76" s="24" t="str">
        <f t="shared" si="43"/>
        <v xml:space="preserve"> </v>
      </c>
      <c r="R76" s="25" t="str">
        <f t="shared" si="43"/>
        <v xml:space="preserve"> </v>
      </c>
    </row>
    <row r="77" spans="2:19" x14ac:dyDescent="0.2">
      <c r="B77" s="33"/>
      <c r="D77" s="27"/>
      <c r="E77" s="20"/>
      <c r="F77" s="18"/>
      <c r="H77" s="33"/>
      <c r="I77" s="37" t="s">
        <v>83</v>
      </c>
      <c r="J77" s="38">
        <f>IF($D$54=$L$3,IRR(K76:L76),IF($D$54=$M$3,IRR(K76:M76),IF($D$54=$N$3,IRR(K76:N76),IF($D$54=$O$3,IRR(K76:O76),IF($D$54=$P$3,IRR(K76:P76),IF($D$54=$Q$3,IRR(K76:Q76),IF($D$54=$R$3,IRR(K76:R76),IF($D$54=$S$3,IRR(K74:S74),0))))))))</f>
        <v>0.23203497430689812</v>
      </c>
      <c r="R77" s="34"/>
    </row>
    <row r="78" spans="2:19" x14ac:dyDescent="0.2">
      <c r="B78" s="33" t="s">
        <v>210</v>
      </c>
      <c r="D78" s="27">
        <f>NPV(D74,L35:S35)+K35</f>
        <v>2347.1660363346364</v>
      </c>
      <c r="H78" s="33" t="s">
        <v>189</v>
      </c>
      <c r="J78" s="103">
        <f>SUM(L76:R76)/-K76</f>
        <v>2.5592705836934502</v>
      </c>
      <c r="R78" s="34"/>
    </row>
    <row r="79" spans="2:19" x14ac:dyDescent="0.2">
      <c r="B79" s="28" t="s">
        <v>211</v>
      </c>
      <c r="C79" s="31"/>
      <c r="D79" s="36">
        <f>NPV(D74,L26:S26)+K26</f>
        <v>630.51005346398597</v>
      </c>
      <c r="H79" s="28" t="s">
        <v>191</v>
      </c>
      <c r="I79" s="31"/>
      <c r="J79" s="31"/>
      <c r="K79" s="31"/>
      <c r="L79" s="105">
        <f t="shared" ref="L79:R79" si="44">IF($D$54&gt;L3,L76/-$K$76,IF($D$54=L3,L76/-$K$76," "))</f>
        <v>9.6249580408921759E-2</v>
      </c>
      <c r="M79" s="105">
        <f t="shared" si="44"/>
        <v>9.5479698861109519E-2</v>
      </c>
      <c r="N79" s="105">
        <f t="shared" si="44"/>
        <v>9.4676842437285094E-2</v>
      </c>
      <c r="O79" s="105">
        <f t="shared" si="44"/>
        <v>9.3839619428705445E-2</v>
      </c>
      <c r="P79" s="105">
        <f t="shared" si="44"/>
        <v>2.1790248425574283</v>
      </c>
      <c r="Q79" s="105" t="str">
        <f t="shared" si="44"/>
        <v xml:space="preserve"> </v>
      </c>
      <c r="R79" s="118" t="str">
        <f t="shared" si="44"/>
        <v xml:space="preserve"> </v>
      </c>
    </row>
    <row r="80" spans="2:19" x14ac:dyDescent="0.2">
      <c r="I80" s="15" t="s">
        <v>216</v>
      </c>
      <c r="K80" s="18">
        <v>-200000</v>
      </c>
      <c r="L80" s="18">
        <f>L79*-$K$80</f>
        <v>19249.916081784351</v>
      </c>
      <c r="M80" s="18">
        <f t="shared" ref="M80:P80" si="45">M79*-$K$80</f>
        <v>19095.939772221904</v>
      </c>
      <c r="N80" s="18">
        <f t="shared" si="45"/>
        <v>18935.368487457017</v>
      </c>
      <c r="O80" s="18">
        <f t="shared" si="45"/>
        <v>18767.923885741089</v>
      </c>
      <c r="P80" s="18">
        <f t="shared" si="45"/>
        <v>435804.96851148567</v>
      </c>
      <c r="R80" s="15" t="s">
        <v>214</v>
      </c>
    </row>
    <row r="81" spans="1:11" x14ac:dyDescent="0.2">
      <c r="K81" s="21"/>
    </row>
    <row r="87" spans="1:11" ht="15.75" x14ac:dyDescent="0.25">
      <c r="A87" s="132" t="s">
        <v>208</v>
      </c>
    </row>
    <row r="89" spans="1:11" x14ac:dyDescent="0.2">
      <c r="B89" s="64" t="s">
        <v>83</v>
      </c>
      <c r="C89" s="179" t="s">
        <v>47</v>
      </c>
      <c r="D89" s="179"/>
      <c r="E89" s="179"/>
      <c r="F89" s="179"/>
      <c r="G89" s="179"/>
      <c r="H89" s="179"/>
    </row>
    <row r="90" spans="1:11" x14ac:dyDescent="0.2">
      <c r="B90" s="119">
        <f>J77</f>
        <v>0.23203497430689812</v>
      </c>
      <c r="C90" s="64">
        <v>2</v>
      </c>
      <c r="D90" s="64">
        <v>3</v>
      </c>
      <c r="E90" s="64">
        <v>4</v>
      </c>
      <c r="F90" s="64">
        <v>5</v>
      </c>
      <c r="G90" s="64">
        <v>6</v>
      </c>
      <c r="H90" s="64">
        <v>7</v>
      </c>
    </row>
    <row r="91" spans="1:11" x14ac:dyDescent="0.2">
      <c r="A91" s="172" t="s">
        <v>199</v>
      </c>
      <c r="B91" s="160">
        <v>4.5</v>
      </c>
      <c r="C91" s="141">
        <f t="dataTable" ref="C91:H103" dt2D="1" dtr="1" r1="D54" r2="F38" ca="1"/>
        <v>-0.11960664222589867</v>
      </c>
      <c r="D91" s="142">
        <v>-4.0323114074645838E-2</v>
      </c>
      <c r="E91" s="142">
        <v>-0.16112016161910747</v>
      </c>
      <c r="F91" s="142">
        <v>0.10764276610371559</v>
      </c>
      <c r="G91" s="142">
        <v>0.10760811591418284</v>
      </c>
      <c r="H91" s="143">
        <v>0.10719313927220386</v>
      </c>
      <c r="I91" s="21"/>
    </row>
    <row r="92" spans="1:11" x14ac:dyDescent="0.2">
      <c r="A92" s="172"/>
      <c r="B92" s="160">
        <f>B91+0.25</f>
        <v>4.75</v>
      </c>
      <c r="C92" s="144">
        <v>-9.8489075153257444E-3</v>
      </c>
      <c r="D92" s="145">
        <v>3.4539331595053957E-2</v>
      </c>
      <c r="E92" s="145">
        <v>-7.4764913944734057E-2</v>
      </c>
      <c r="F92" s="145">
        <v>0.14528244266937973</v>
      </c>
      <c r="G92" s="145">
        <v>0.13853563448086592</v>
      </c>
      <c r="H92" s="146">
        <v>0.1335073529195745</v>
      </c>
      <c r="I92" s="21"/>
    </row>
    <row r="93" spans="1:11" x14ac:dyDescent="0.2">
      <c r="A93" s="172"/>
      <c r="B93" s="160">
        <f t="shared" ref="B93:B103" si="46">B92+0.25</f>
        <v>5</v>
      </c>
      <c r="C93" s="144">
        <v>8.9571791239994702E-2</v>
      </c>
      <c r="D93" s="145">
        <v>0.10082551800784012</v>
      </c>
      <c r="E93" s="145">
        <v>-6.1423724544031888E-3</v>
      </c>
      <c r="F93" s="145">
        <v>0.17945774929745584</v>
      </c>
      <c r="G93" s="145">
        <v>0.16671346846400747</v>
      </c>
      <c r="H93" s="146">
        <v>0.15757982551028671</v>
      </c>
      <c r="I93" s="21"/>
    </row>
    <row r="94" spans="1:11" x14ac:dyDescent="0.2">
      <c r="A94" s="172"/>
      <c r="B94" s="160">
        <f t="shared" si="46"/>
        <v>5.25</v>
      </c>
      <c r="C94" s="144">
        <v>0.18122928699322438</v>
      </c>
      <c r="D94" s="145">
        <v>0.16076098603937239</v>
      </c>
      <c r="E94" s="145">
        <v>5.1776823917162984E-2</v>
      </c>
      <c r="F94" s="145">
        <v>0.21088866470720102</v>
      </c>
      <c r="G94" s="145">
        <v>0.19270001962951744</v>
      </c>
      <c r="H94" s="146">
        <v>0.17985657390943688</v>
      </c>
      <c r="I94" s="21"/>
    </row>
    <row r="95" spans="1:11" x14ac:dyDescent="0.2">
      <c r="A95" s="172"/>
      <c r="B95" s="160">
        <f t="shared" si="46"/>
        <v>5.5</v>
      </c>
      <c r="C95" s="144">
        <v>0.26677945244162515</v>
      </c>
      <c r="D95" s="145">
        <v>0.21576982556508373</v>
      </c>
      <c r="E95" s="145">
        <v>0.10243271144566912</v>
      </c>
      <c r="F95" s="145">
        <v>0.24008677986802751</v>
      </c>
      <c r="G95" s="145">
        <v>0.21689663382043678</v>
      </c>
      <c r="H95" s="146">
        <v>0.20066134590588725</v>
      </c>
      <c r="I95" s="21"/>
    </row>
    <row r="96" spans="1:11" x14ac:dyDescent="0.2">
      <c r="A96" s="172"/>
      <c r="B96" s="160">
        <f t="shared" si="46"/>
        <v>5.75</v>
      </c>
      <c r="C96" s="144">
        <v>0.34736207048412204</v>
      </c>
      <c r="D96" s="145">
        <v>0.26682500553214217</v>
      </c>
      <c r="E96" s="145">
        <v>0.1477913434424809</v>
      </c>
      <c r="F96" s="145">
        <v>0.26742959929114551</v>
      </c>
      <c r="G96" s="145">
        <v>0.23960204081493619</v>
      </c>
      <c r="H96" s="146">
        <v>0.22023697340747339</v>
      </c>
      <c r="I96" s="21"/>
    </row>
    <row r="97" spans="1:9" x14ac:dyDescent="0.2">
      <c r="A97" s="172"/>
      <c r="B97" s="160">
        <f t="shared" si="46"/>
        <v>6</v>
      </c>
      <c r="C97" s="144">
        <v>0.4238013528841682</v>
      </c>
      <c r="D97" s="145">
        <v>0.31462430547242493</v>
      </c>
      <c r="E97" s="145">
        <v>0.18909218995787169</v>
      </c>
      <c r="F97" s="145">
        <v>0.29320421756406101</v>
      </c>
      <c r="G97" s="145">
        <v>0.26104495704545716</v>
      </c>
      <c r="H97" s="146">
        <v>0.23877052013537958</v>
      </c>
      <c r="I97" s="21"/>
    </row>
    <row r="98" spans="1:9" x14ac:dyDescent="0.2">
      <c r="A98" s="172"/>
      <c r="B98" s="160">
        <f t="shared" si="46"/>
        <v>6.25</v>
      </c>
      <c r="C98" s="144">
        <v>0.49671619104574449</v>
      </c>
      <c r="D98" s="145">
        <v>0.35968721799237202</v>
      </c>
      <c r="E98" s="145">
        <v>0.22717179213785821</v>
      </c>
      <c r="F98" s="145">
        <v>0.31763442810549702</v>
      </c>
      <c r="G98" s="145">
        <v>0.28140461839102038</v>
      </c>
      <c r="H98" s="146">
        <v>0.25640931424686708</v>
      </c>
      <c r="I98" s="21"/>
    </row>
    <row r="99" spans="1:9" x14ac:dyDescent="0.2">
      <c r="A99" s="172"/>
      <c r="B99" s="160">
        <f t="shared" si="46"/>
        <v>6.5</v>
      </c>
      <c r="C99" s="144">
        <v>0.56658533360948748</v>
      </c>
      <c r="D99" s="145">
        <v>0.40241218385890387</v>
      </c>
      <c r="E99" s="145">
        <v>0.26262388648280743</v>
      </c>
      <c r="F99" s="145">
        <v>0.34089830691888001</v>
      </c>
      <c r="G99" s="145">
        <v>0.30082425492321052</v>
      </c>
      <c r="H99" s="146">
        <v>0.27327157521607504</v>
      </c>
      <c r="I99" s="21"/>
    </row>
    <row r="100" spans="1:9" x14ac:dyDescent="0.2">
      <c r="A100" s="172"/>
      <c r="B100" s="160">
        <f t="shared" si="46"/>
        <v>6.75</v>
      </c>
      <c r="C100" s="144">
        <v>0.63378815446448877</v>
      </c>
      <c r="D100" s="145">
        <v>0.44311230303299753</v>
      </c>
      <c r="E100" s="145">
        <v>0.29588652756658895</v>
      </c>
      <c r="F100" s="145">
        <v>0.36314004180978143</v>
      </c>
      <c r="G100" s="145">
        <v>0.31942024275386438</v>
      </c>
      <c r="H100" s="146">
        <v>0.28945369135002252</v>
      </c>
      <c r="I100" s="21"/>
    </row>
    <row r="101" spans="1:9" x14ac:dyDescent="0.2">
      <c r="A101" s="172"/>
      <c r="B101" s="160">
        <f t="shared" si="46"/>
        <v>7</v>
      </c>
      <c r="C101" s="144">
        <v>0.69863133307542302</v>
      </c>
      <c r="D101" s="145">
        <v>0.48203862480512671</v>
      </c>
      <c r="E101" s="145">
        <v>0.3272930153475071</v>
      </c>
      <c r="F101" s="145">
        <v>0.38447813898813887</v>
      </c>
      <c r="G101" s="145">
        <v>0.33728850328952742</v>
      </c>
      <c r="H101" s="146">
        <v>0.30503534387280218</v>
      </c>
      <c r="I101" s="21"/>
    </row>
    <row r="102" spans="1:9" x14ac:dyDescent="0.2">
      <c r="A102" s="172"/>
      <c r="B102" s="160">
        <f t="shared" si="46"/>
        <v>7.25</v>
      </c>
      <c r="C102" s="144">
        <v>0.76136697614231497</v>
      </c>
      <c r="D102" s="145">
        <v>0.51939590257958135</v>
      </c>
      <c r="E102" s="145">
        <v>0.35710338548136544</v>
      </c>
      <c r="F102" s="145">
        <v>0.40501126769788565</v>
      </c>
      <c r="G102" s="145">
        <v>0.35450909100978834</v>
      </c>
      <c r="H102" s="146">
        <v>0.32008320223935582</v>
      </c>
      <c r="I102" s="21"/>
    </row>
    <row r="103" spans="1:9" x14ac:dyDescent="0.2">
      <c r="A103" s="172"/>
      <c r="B103" s="160">
        <f t="shared" si="46"/>
        <v>7.5</v>
      </c>
      <c r="C103" s="147">
        <v>0.82220531455238377</v>
      </c>
      <c r="D103" s="148">
        <v>0.5553535836294563</v>
      </c>
      <c r="E103" s="148">
        <v>0.38552478372985166</v>
      </c>
      <c r="F103" s="148">
        <v>0.4248225184139176</v>
      </c>
      <c r="G103" s="148">
        <v>0.37114955466494504</v>
      </c>
      <c r="H103" s="149">
        <v>0.33465364521031038</v>
      </c>
      <c r="I103" s="21"/>
    </row>
    <row r="104" spans="1:9" x14ac:dyDescent="0.2">
      <c r="A104" s="120"/>
      <c r="B104" s="20"/>
      <c r="C104" s="21"/>
      <c r="D104" s="21"/>
      <c r="E104" s="21"/>
      <c r="F104" s="21"/>
      <c r="G104" s="21"/>
      <c r="H104" s="21"/>
      <c r="I104" s="21"/>
    </row>
    <row r="105" spans="1:9" ht="15" customHeight="1" x14ac:dyDescent="0.2">
      <c r="A105" s="180" t="s">
        <v>189</v>
      </c>
      <c r="B105" s="180"/>
      <c r="C105" s="179" t="s">
        <v>47</v>
      </c>
      <c r="D105" s="179"/>
      <c r="E105" s="179"/>
      <c r="F105" s="179"/>
      <c r="G105" s="179"/>
      <c r="H105" s="179"/>
    </row>
    <row r="106" spans="1:9" x14ac:dyDescent="0.2">
      <c r="B106" s="130">
        <f>J78</f>
        <v>2.5592705836934502</v>
      </c>
      <c r="C106" s="64">
        <v>2</v>
      </c>
      <c r="D106" s="64">
        <v>3</v>
      </c>
      <c r="E106" s="64">
        <v>4</v>
      </c>
      <c r="F106" s="64">
        <v>5</v>
      </c>
      <c r="G106" s="64">
        <v>6</v>
      </c>
      <c r="H106" s="64">
        <v>7</v>
      </c>
    </row>
    <row r="107" spans="1:9" x14ac:dyDescent="0.2">
      <c r="A107" s="172" t="s">
        <v>199</v>
      </c>
      <c r="B107" s="160">
        <v>4.5</v>
      </c>
      <c r="C107" s="133">
        <f t="dataTable" ref="C107:H119" dt2D="1" dtr="1" r1="D54" r2="F38"/>
        <v>0.78200280100900277</v>
      </c>
      <c r="D107" s="134">
        <v>0.89070703781694949</v>
      </c>
      <c r="E107" s="134">
        <v>0.5448345925655137</v>
      </c>
      <c r="F107" s="134">
        <v>1.5988806523445491</v>
      </c>
      <c r="G107" s="134">
        <v>1.7433010060924632</v>
      </c>
      <c r="H107" s="135">
        <v>1.8898966827995727</v>
      </c>
    </row>
    <row r="108" spans="1:9" x14ac:dyDescent="0.2">
      <c r="A108" s="172"/>
      <c r="B108" s="160">
        <f>B107+0.25</f>
        <v>4.75</v>
      </c>
      <c r="C108" s="136">
        <v>0.98107014794777936</v>
      </c>
      <c r="D108" s="130">
        <v>1.1001243847557254</v>
      </c>
      <c r="E108" s="130">
        <v>0.76167589551344128</v>
      </c>
      <c r="F108" s="130">
        <v>1.8572375057997168</v>
      </c>
      <c r="G108" s="130">
        <v>2.0136563462166359</v>
      </c>
      <c r="H108" s="137">
        <v>2.1722505095927511</v>
      </c>
    </row>
    <row r="109" spans="1:9" x14ac:dyDescent="0.2">
      <c r="A109" s="172"/>
      <c r="B109" s="160">
        <f t="shared" ref="B109:B119" si="47">B108+0.25</f>
        <v>5</v>
      </c>
      <c r="C109" s="136">
        <v>1.1801374948865537</v>
      </c>
      <c r="D109" s="130">
        <v>1.3095417316945006</v>
      </c>
      <c r="E109" s="130">
        <v>0.97851719846136853</v>
      </c>
      <c r="F109" s="130">
        <v>2.1155943592548874</v>
      </c>
      <c r="G109" s="130">
        <v>2.2840116863408113</v>
      </c>
      <c r="H109" s="137">
        <v>2.4546043363859313</v>
      </c>
    </row>
    <row r="110" spans="1:9" x14ac:dyDescent="0.2">
      <c r="A110" s="172"/>
      <c r="B110" s="160">
        <f t="shared" si="47"/>
        <v>5.25</v>
      </c>
      <c r="C110" s="136">
        <v>1.3792048418253295</v>
      </c>
      <c r="D110" s="130">
        <v>1.5189590786332758</v>
      </c>
      <c r="E110" s="130">
        <v>1.1953585014092964</v>
      </c>
      <c r="F110" s="130">
        <v>2.3739512127100566</v>
      </c>
      <c r="G110" s="130">
        <v>2.5543670264649849</v>
      </c>
      <c r="H110" s="137">
        <v>2.7369581631791111</v>
      </c>
    </row>
    <row r="111" spans="1:9" x14ac:dyDescent="0.2">
      <c r="A111" s="172"/>
      <c r="B111" s="160">
        <f t="shared" si="47"/>
        <v>5.5</v>
      </c>
      <c r="C111" s="136">
        <v>1.5782721887641056</v>
      </c>
      <c r="D111" s="130">
        <v>1.7283764255720508</v>
      </c>
      <c r="E111" s="130">
        <v>1.4121998043572246</v>
      </c>
      <c r="F111" s="130">
        <v>2.6323080661652258</v>
      </c>
      <c r="G111" s="130">
        <v>2.8247223665891581</v>
      </c>
      <c r="H111" s="137">
        <v>3.0193119899722891</v>
      </c>
    </row>
    <row r="112" spans="1:9" x14ac:dyDescent="0.2">
      <c r="A112" s="172"/>
      <c r="B112" s="160">
        <f t="shared" si="47"/>
        <v>5.75</v>
      </c>
      <c r="C112" s="136">
        <v>1.7773395357028809</v>
      </c>
      <c r="D112" s="130">
        <v>1.9377937725108267</v>
      </c>
      <c r="E112" s="130">
        <v>1.6290411073051514</v>
      </c>
      <c r="F112" s="130">
        <v>2.8906649196203933</v>
      </c>
      <c r="G112" s="130">
        <v>3.0950777067133313</v>
      </c>
      <c r="H112" s="137">
        <v>3.3016658167654667</v>
      </c>
    </row>
    <row r="113" spans="1:8" x14ac:dyDescent="0.2">
      <c r="A113" s="172"/>
      <c r="B113" s="160">
        <f t="shared" si="47"/>
        <v>6</v>
      </c>
      <c r="C113" s="136">
        <v>1.9764068826416563</v>
      </c>
      <c r="D113" s="130">
        <v>2.1472111194496031</v>
      </c>
      <c r="E113" s="130">
        <v>1.8458824102530782</v>
      </c>
      <c r="F113" s="130">
        <v>3.1490217730755625</v>
      </c>
      <c r="G113" s="130">
        <v>3.365433046837508</v>
      </c>
      <c r="H113" s="137">
        <v>3.584019643558646</v>
      </c>
    </row>
    <row r="114" spans="1:8" x14ac:dyDescent="0.2">
      <c r="A114" s="172"/>
      <c r="B114" s="160">
        <f t="shared" si="47"/>
        <v>6.25</v>
      </c>
      <c r="C114" s="136">
        <v>2.1754742295804324</v>
      </c>
      <c r="D114" s="130">
        <v>2.3566284663883783</v>
      </c>
      <c r="E114" s="130">
        <v>2.0627237132010063</v>
      </c>
      <c r="F114" s="130">
        <v>3.4073786265307313</v>
      </c>
      <c r="G114" s="130">
        <v>3.6357883869616821</v>
      </c>
      <c r="H114" s="137">
        <v>3.8663734703518262</v>
      </c>
    </row>
    <row r="115" spans="1:8" x14ac:dyDescent="0.2">
      <c r="A115" s="172"/>
      <c r="B115" s="160">
        <f t="shared" si="47"/>
        <v>6.5</v>
      </c>
      <c r="C115" s="136">
        <v>2.3745415765192073</v>
      </c>
      <c r="D115" s="130">
        <v>2.5660458133271531</v>
      </c>
      <c r="E115" s="130">
        <v>2.279565016148934</v>
      </c>
      <c r="F115" s="130">
        <v>3.6657354799859019</v>
      </c>
      <c r="G115" s="130">
        <v>3.906143727085857</v>
      </c>
      <c r="H115" s="137">
        <v>4.1487272971450055</v>
      </c>
    </row>
    <row r="116" spans="1:8" x14ac:dyDescent="0.2">
      <c r="A116" s="172"/>
      <c r="B116" s="160">
        <f t="shared" si="47"/>
        <v>6.75</v>
      </c>
      <c r="C116" s="136">
        <v>2.5736089234579826</v>
      </c>
      <c r="D116" s="130">
        <v>2.7754631602659292</v>
      </c>
      <c r="E116" s="130">
        <v>2.4964063190968613</v>
      </c>
      <c r="F116" s="130">
        <v>3.9240923334410689</v>
      </c>
      <c r="G116" s="130">
        <v>4.1764990672100302</v>
      </c>
      <c r="H116" s="137">
        <v>4.4310811239381831</v>
      </c>
    </row>
    <row r="117" spans="1:8" x14ac:dyDescent="0.2">
      <c r="A117" s="172"/>
      <c r="B117" s="160">
        <f t="shared" si="47"/>
        <v>7</v>
      </c>
      <c r="C117" s="136">
        <v>2.772676270396758</v>
      </c>
      <c r="D117" s="130">
        <v>2.9848805072047044</v>
      </c>
      <c r="E117" s="130">
        <v>2.7132476220447885</v>
      </c>
      <c r="F117" s="130">
        <v>4.182449186896239</v>
      </c>
      <c r="G117" s="130">
        <v>4.446854407334202</v>
      </c>
      <c r="H117" s="137">
        <v>4.7134349507313624</v>
      </c>
    </row>
    <row r="118" spans="1:8" x14ac:dyDescent="0.2">
      <c r="A118" s="172"/>
      <c r="B118" s="160">
        <f t="shared" si="47"/>
        <v>7.25</v>
      </c>
      <c r="C118" s="136">
        <v>2.9717436173355343</v>
      </c>
      <c r="D118" s="130">
        <v>3.1942978541434797</v>
      </c>
      <c r="E118" s="130">
        <v>2.9300889249927149</v>
      </c>
      <c r="F118" s="130">
        <v>4.4408060403514069</v>
      </c>
      <c r="G118" s="130">
        <v>4.7172097474583765</v>
      </c>
      <c r="H118" s="137">
        <v>4.9957887775245418</v>
      </c>
    </row>
    <row r="119" spans="1:8" x14ac:dyDescent="0.2">
      <c r="A119" s="172"/>
      <c r="B119" s="160">
        <f t="shared" si="47"/>
        <v>7.5</v>
      </c>
      <c r="C119" s="138">
        <v>3.1708109642743092</v>
      </c>
      <c r="D119" s="139">
        <v>3.4037152010822553</v>
      </c>
      <c r="E119" s="139">
        <v>3.1469302279406439</v>
      </c>
      <c r="F119" s="139">
        <v>4.6991628938065775</v>
      </c>
      <c r="G119" s="139">
        <v>4.9875650875825519</v>
      </c>
      <c r="H119" s="140">
        <v>5.2781426043177202</v>
      </c>
    </row>
    <row r="121" spans="1:8" x14ac:dyDescent="0.2">
      <c r="B121" s="64" t="s">
        <v>83</v>
      </c>
      <c r="C121" s="179" t="s">
        <v>38</v>
      </c>
      <c r="D121" s="179"/>
      <c r="E121" s="179"/>
      <c r="F121" s="179"/>
      <c r="G121" s="179"/>
      <c r="H121" s="179"/>
    </row>
    <row r="122" spans="1:8" x14ac:dyDescent="0.2">
      <c r="B122" s="131">
        <f>J77</f>
        <v>0.23203497430689812</v>
      </c>
      <c r="C122" s="159">
        <v>9700</v>
      </c>
      <c r="D122" s="159">
        <f>C122+100</f>
        <v>9800</v>
      </c>
      <c r="E122" s="159">
        <f t="shared" ref="E122:H122" si="48">D122+100</f>
        <v>9900</v>
      </c>
      <c r="F122" s="159">
        <f t="shared" si="48"/>
        <v>10000</v>
      </c>
      <c r="G122" s="159">
        <f t="shared" si="48"/>
        <v>10100</v>
      </c>
      <c r="H122" s="159">
        <f t="shared" si="48"/>
        <v>10200</v>
      </c>
    </row>
    <row r="123" spans="1:8" x14ac:dyDescent="0.2">
      <c r="A123" s="172" t="s">
        <v>205</v>
      </c>
      <c r="B123" s="59">
        <v>740</v>
      </c>
      <c r="C123" s="150">
        <f t="dataTable" ref="C123:H131" dt2D="1" dtr="1" r1="D25" r2="L22" ca="1"/>
        <v>0.26752054946997261</v>
      </c>
      <c r="D123" s="151">
        <v>0.25386930739168778</v>
      </c>
      <c r="E123" s="151">
        <v>0.24111003147592136</v>
      </c>
      <c r="F123" s="151">
        <v>0.22914619933277147</v>
      </c>
      <c r="G123" s="151">
        <v>0.21789560586695278</v>
      </c>
      <c r="H123" s="152">
        <v>0.20728771379562305</v>
      </c>
    </row>
    <row r="124" spans="1:8" x14ac:dyDescent="0.2">
      <c r="A124" s="172"/>
      <c r="B124" s="59">
        <f>B123+20</f>
        <v>760</v>
      </c>
      <c r="C124" s="153">
        <v>0.26902030009736699</v>
      </c>
      <c r="D124" s="154">
        <v>0.25528894669020086</v>
      </c>
      <c r="E124" s="154">
        <v>0.24245756300313315</v>
      </c>
      <c r="F124" s="154">
        <v>0.23042849266984811</v>
      </c>
      <c r="G124" s="154">
        <v>0.21911860025399554</v>
      </c>
      <c r="H124" s="155">
        <v>0.20845657815798946</v>
      </c>
    </row>
    <row r="125" spans="1:8" x14ac:dyDescent="0.2">
      <c r="A125" s="172"/>
      <c r="B125" s="59">
        <f t="shared" ref="B125:B131" si="49">B124+20</f>
        <v>780</v>
      </c>
      <c r="C125" s="153">
        <v>0.27052666762692001</v>
      </c>
      <c r="D125" s="154">
        <v>0.25671459223726312</v>
      </c>
      <c r="E125" s="154">
        <v>0.24381057252459204</v>
      </c>
      <c r="F125" s="154">
        <v>0.23171580382967205</v>
      </c>
      <c r="G125" s="154">
        <v>0.22034620905282321</v>
      </c>
      <c r="H125" s="155">
        <v>0.20962970123037517</v>
      </c>
    </row>
    <row r="126" spans="1:8" x14ac:dyDescent="0.2">
      <c r="A126" s="172"/>
      <c r="B126" s="59">
        <f t="shared" si="49"/>
        <v>800</v>
      </c>
      <c r="C126" s="153">
        <v>0.27203969331594724</v>
      </c>
      <c r="D126" s="154">
        <v>0.25814628001987683</v>
      </c>
      <c r="E126" s="154">
        <v>0.2451690916376208</v>
      </c>
      <c r="F126" s="154">
        <v>0.23300816072167674</v>
      </c>
      <c r="G126" s="154">
        <v>0.22157845705013912</v>
      </c>
      <c r="H126" s="155">
        <v>0.21080710513626189</v>
      </c>
    </row>
    <row r="127" spans="1:8" x14ac:dyDescent="0.2">
      <c r="A127" s="172"/>
      <c r="B127" s="59">
        <f t="shared" si="49"/>
        <v>820</v>
      </c>
      <c r="C127" s="153">
        <v>0.27355941868940303</v>
      </c>
      <c r="D127" s="154">
        <v>0.2595840462504353</v>
      </c>
      <c r="E127" s="154">
        <v>0.24653315213087201</v>
      </c>
      <c r="F127" s="154">
        <v>0.23430559141889162</v>
      </c>
      <c r="G127" s="154">
        <v>0.22281536917346334</v>
      </c>
      <c r="H127" s="155">
        <v>0.21198881212108023</v>
      </c>
    </row>
    <row r="128" spans="1:8" x14ac:dyDescent="0.2">
      <c r="A128" s="172"/>
      <c r="B128" s="59">
        <f t="shared" si="49"/>
        <v>840</v>
      </c>
      <c r="C128" s="153">
        <v>0.27508588554072233</v>
      </c>
      <c r="D128" s="154">
        <v>0.26102792736743963</v>
      </c>
      <c r="E128" s="154">
        <v>0.24790278598493809</v>
      </c>
      <c r="F128" s="154">
        <v>0.23560812415846466</v>
      </c>
      <c r="G128" s="154">
        <v>0.22405697049157736</v>
      </c>
      <c r="H128" s="155">
        <v>0.21317484455259206</v>
      </c>
    </row>
    <row r="129" spans="1:8" x14ac:dyDescent="0.2">
      <c r="A129" s="172"/>
      <c r="B129" s="59">
        <f t="shared" si="49"/>
        <v>860</v>
      </c>
      <c r="C129" s="153">
        <v>0.27661913593263865</v>
      </c>
      <c r="D129" s="154">
        <v>0.26247796003619239</v>
      </c>
      <c r="E129" s="154">
        <v>0.24927802537294008</v>
      </c>
      <c r="F129" s="154">
        <v>0.23691578734216678</v>
      </c>
      <c r="G129" s="154">
        <v>0.22530328621495999</v>
      </c>
      <c r="H129" s="155">
        <v>0.21436522492126686</v>
      </c>
    </row>
    <row r="130" spans="1:8" x14ac:dyDescent="0.2">
      <c r="A130" s="172"/>
      <c r="B130" s="59">
        <f t="shared" si="49"/>
        <v>880</v>
      </c>
      <c r="C130" s="153">
        <v>0.27815921219796969</v>
      </c>
      <c r="D130" s="154">
        <v>0.2639341811494702</v>
      </c>
      <c r="E130" s="154">
        <v>0.25065890266110791</v>
      </c>
      <c r="F130" s="154">
        <v>0.23822860953688885</v>
      </c>
      <c r="G130" s="154">
        <v>0.22655434169621302</v>
      </c>
      <c r="H130" s="155">
        <v>0.21555997584064834</v>
      </c>
    </row>
    <row r="131" spans="1:8" x14ac:dyDescent="0.2">
      <c r="A131" s="172"/>
      <c r="B131" s="59">
        <f t="shared" si="49"/>
        <v>900</v>
      </c>
      <c r="C131" s="156">
        <v>0.2797061569403787</v>
      </c>
      <c r="D131" s="157">
        <v>0.26539662782817652</v>
      </c>
      <c r="E131" s="157">
        <v>0.25204545040933857</v>
      </c>
      <c r="F131" s="157">
        <v>0.23954661947512212</v>
      </c>
      <c r="G131" s="157">
        <v>0.22781016243047758</v>
      </c>
      <c r="H131" s="158">
        <v>0.21675912004771747</v>
      </c>
    </row>
    <row r="133" spans="1:8" x14ac:dyDescent="0.2">
      <c r="B133" s="64" t="s">
        <v>83</v>
      </c>
      <c r="C133" s="179" t="s">
        <v>207</v>
      </c>
      <c r="D133" s="179"/>
      <c r="E133" s="179"/>
      <c r="F133" s="179"/>
      <c r="G133" s="179"/>
      <c r="H133" s="179"/>
    </row>
    <row r="134" spans="1:8" x14ac:dyDescent="0.2">
      <c r="B134" s="131">
        <f>J77</f>
        <v>0.23203497430689812</v>
      </c>
      <c r="C134" s="161">
        <v>5.4</v>
      </c>
      <c r="D134" s="161">
        <f>C134+0.25</f>
        <v>5.65</v>
      </c>
      <c r="E134" s="161">
        <f t="shared" ref="E134:H134" si="50">D134+0.25</f>
        <v>5.9</v>
      </c>
      <c r="F134" s="161">
        <f t="shared" si="50"/>
        <v>6.15</v>
      </c>
      <c r="G134" s="161">
        <f t="shared" si="50"/>
        <v>6.4</v>
      </c>
      <c r="H134" s="161">
        <f t="shared" si="50"/>
        <v>6.65</v>
      </c>
    </row>
    <row r="135" spans="1:8" x14ac:dyDescent="0.2">
      <c r="A135" s="172" t="s">
        <v>206</v>
      </c>
      <c r="B135" s="38">
        <v>6.5000000000000002E-2</v>
      </c>
      <c r="C135" s="150">
        <f t="dataTable" ref="C135:H141" dt2D="1" dtr="1" r1="F39" r2="D57" ca="1"/>
        <v>0.19538564318251028</v>
      </c>
      <c r="D135" s="151">
        <v>0.21634021424251682</v>
      </c>
      <c r="E135" s="151">
        <v>0.23585649353033555</v>
      </c>
      <c r="F135" s="151">
        <v>0.25414089319936273</v>
      </c>
      <c r="G135" s="151">
        <v>0.27135696426097811</v>
      </c>
      <c r="H135" s="152">
        <v>0.28763667102090418</v>
      </c>
    </row>
    <row r="136" spans="1:8" x14ac:dyDescent="0.2">
      <c r="A136" s="172"/>
      <c r="B136" s="38">
        <f>B135+0.0025</f>
        <v>6.7500000000000004E-2</v>
      </c>
      <c r="C136" s="153">
        <v>0.17766299775028949</v>
      </c>
      <c r="D136" s="154">
        <v>0.19914215393112111</v>
      </c>
      <c r="E136" s="154">
        <v>0.21908909574141999</v>
      </c>
      <c r="F136" s="154">
        <v>0.23773173272004056</v>
      </c>
      <c r="G136" s="154">
        <v>0.25524904670115944</v>
      </c>
      <c r="H136" s="155">
        <v>0.27178436822617313</v>
      </c>
    </row>
    <row r="137" spans="1:8" x14ac:dyDescent="0.2">
      <c r="A137" s="172"/>
      <c r="B137" s="38">
        <f t="shared" ref="B137:B141" si="51">B136+0.0025</f>
        <v>7.0000000000000007E-2</v>
      </c>
      <c r="C137" s="153">
        <v>0.16011213430509708</v>
      </c>
      <c r="D137" s="154">
        <v>0.18216724814659346</v>
      </c>
      <c r="E137" s="154">
        <v>0.20258460531045852</v>
      </c>
      <c r="F137" s="154">
        <v>0.22161704802247906</v>
      </c>
      <c r="G137" s="154">
        <v>0.23946123298842426</v>
      </c>
      <c r="H137" s="155">
        <v>0.25627337466647115</v>
      </c>
    </row>
    <row r="138" spans="1:8" x14ac:dyDescent="0.2">
      <c r="A138" s="172"/>
      <c r="B138" s="38">
        <f t="shared" si="51"/>
        <v>7.2500000000000009E-2</v>
      </c>
      <c r="C138" s="153">
        <v>0.14267434600794116</v>
      </c>
      <c r="D138" s="154">
        <v>0.16536283674162644</v>
      </c>
      <c r="E138" s="154">
        <v>0.18629442247224515</v>
      </c>
      <c r="F138" s="154">
        <v>0.20575104316224446</v>
      </c>
      <c r="G138" s="154">
        <v>0.22394970490866917</v>
      </c>
      <c r="H138" s="155">
        <v>0.24106128908739244</v>
      </c>
    </row>
    <row r="139" spans="1:8" x14ac:dyDescent="0.2">
      <c r="A139" s="172"/>
      <c r="B139" s="38">
        <f t="shared" si="51"/>
        <v>7.5000000000000011E-2</v>
      </c>
      <c r="C139" s="153">
        <v>0.12529100221944578</v>
      </c>
      <c r="D139" s="154">
        <v>0.14867756335521443</v>
      </c>
      <c r="E139" s="154">
        <v>0.17017201554727701</v>
      </c>
      <c r="F139" s="154">
        <v>0.19009049037656234</v>
      </c>
      <c r="G139" s="154">
        <v>0.20867355418651368</v>
      </c>
      <c r="H139" s="155">
        <v>0.22610886288471788</v>
      </c>
    </row>
    <row r="140" spans="1:8" x14ac:dyDescent="0.2">
      <c r="A140" s="172"/>
      <c r="B140" s="38">
        <f t="shared" si="51"/>
        <v>7.7500000000000013E-2</v>
      </c>
      <c r="C140" s="153">
        <v>0.10790230849745663</v>
      </c>
      <c r="D140" s="154">
        <v>0.13206043352310726</v>
      </c>
      <c r="E140" s="154">
        <v>0.1541721401916023</v>
      </c>
      <c r="F140" s="154">
        <v>0.17459404103643172</v>
      </c>
      <c r="G140" s="154">
        <v>0.19359414749137227</v>
      </c>
      <c r="H140" s="155">
        <v>0.21137939787866245</v>
      </c>
    </row>
    <row r="141" spans="1:8" x14ac:dyDescent="0.2">
      <c r="A141" s="172"/>
      <c r="B141" s="38">
        <f t="shared" si="51"/>
        <v>8.0000000000000016E-2</v>
      </c>
      <c r="C141" s="156">
        <v>9.044594355417046E-2</v>
      </c>
      <c r="D141" s="157">
        <v>0.11545984848370172</v>
      </c>
      <c r="E141" s="157">
        <v>0.13825008254613813</v>
      </c>
      <c r="F141" s="157">
        <v>0.15922158562106614</v>
      </c>
      <c r="G141" s="157">
        <v>0.17867455473665439</v>
      </c>
      <c r="H141" s="158">
        <v>0.19683821581937222</v>
      </c>
    </row>
    <row r="147" spans="3:3" x14ac:dyDescent="0.2">
      <c r="C147" s="20"/>
    </row>
  </sheetData>
  <mergeCells count="15">
    <mergeCell ref="A135:A141"/>
    <mergeCell ref="B37:F37"/>
    <mergeCell ref="B29:F29"/>
    <mergeCell ref="B5:E5"/>
    <mergeCell ref="B6:E6"/>
    <mergeCell ref="C133:H133"/>
    <mergeCell ref="A91:A103"/>
    <mergeCell ref="A107:A119"/>
    <mergeCell ref="B53:F53"/>
    <mergeCell ref="B67:F67"/>
    <mergeCell ref="A123:A131"/>
    <mergeCell ref="C121:H121"/>
    <mergeCell ref="C89:H89"/>
    <mergeCell ref="C105:H105"/>
    <mergeCell ref="A105:B105"/>
  </mergeCells>
  <conditionalFormatting sqref="C44">
    <cfRule type="cellIs" dxfId="18" priority="8" operator="greaterThan">
      <formula>0</formula>
    </cfRule>
  </conditionalFormatting>
  <conditionalFormatting sqref="C107:H11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3:H1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5:H14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1:I10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4">
    <cfRule type="cellIs" dxfId="17" priority="1" operator="equal">
      <formula>5</formula>
    </cfRule>
    <cfRule type="cellIs" dxfId="16" priority="6" operator="lessThan">
      <formula>5</formula>
    </cfRule>
    <cfRule type="cellIs" dxfId="15" priority="7" operator="greaterThan">
      <formula>5</formula>
    </cfRule>
  </conditionalFormatting>
  <conditionalFormatting sqref="L1:L79">
    <cfRule type="expression" dxfId="14" priority="124">
      <formula>D$54=$L$3</formula>
    </cfRule>
  </conditionalFormatting>
  <conditionalFormatting sqref="M1:M79 C90 C106">
    <cfRule type="expression" dxfId="13" priority="125">
      <formula>XEX$54=$M$3</formula>
    </cfRule>
  </conditionalFormatting>
  <conditionalFormatting sqref="N1:N79 D90 D106">
    <cfRule type="expression" dxfId="12" priority="126">
      <formula>$D$54=$N$3</formula>
    </cfRule>
  </conditionalFormatting>
  <conditionalFormatting sqref="N17:S17">
    <cfRule type="expression" dxfId="11" priority="5">
      <formula>E$54=$M$3</formula>
    </cfRule>
  </conditionalFormatting>
  <conditionalFormatting sqref="O1:O79 E90 E106">
    <cfRule type="expression" dxfId="10" priority="127">
      <formula>$D$54=$O$3</formula>
    </cfRule>
  </conditionalFormatting>
  <conditionalFormatting sqref="P1:P79 F90 F106">
    <cfRule type="expression" dxfId="9" priority="128">
      <formula>$D$54=$P$3</formula>
    </cfRule>
  </conditionalFormatting>
  <conditionalFormatting sqref="Q1:Q79 G90 G106">
    <cfRule type="expression" dxfId="8" priority="129">
      <formula>$D$54=$Q$3</formula>
    </cfRule>
  </conditionalFormatting>
  <conditionalFormatting sqref="R1:R79 H90 H106">
    <cfRule type="expression" dxfId="7" priority="130">
      <formula>$D$54=$R$3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DF7C7-CF88-49C3-B633-CAB7AA2BE6B4}">
  <dimension ref="B1:S76"/>
  <sheetViews>
    <sheetView showGridLines="0" zoomScale="95" workbookViewId="0">
      <pane xSplit="10" ySplit="3" topLeftCell="K4" activePane="bottomRight" state="frozen"/>
      <selection pane="topRight" activeCell="K1" sqref="K1"/>
      <selection pane="bottomLeft" activeCell="A3" sqref="A3"/>
      <selection pane="bottomRight" activeCell="Y24" sqref="Y24"/>
    </sheetView>
  </sheetViews>
  <sheetFormatPr defaultRowHeight="12.75" x14ac:dyDescent="0.2"/>
  <cols>
    <col min="1" max="2" width="9.140625" style="15"/>
    <col min="3" max="3" width="19" style="15" bestFit="1" customWidth="1"/>
    <col min="4" max="4" width="11.5703125" style="15" bestFit="1" customWidth="1"/>
    <col min="5" max="5" width="14" style="15" bestFit="1" customWidth="1"/>
    <col min="6" max="6" width="9.28515625" style="15" bestFit="1" customWidth="1"/>
    <col min="7" max="7" width="9.140625" style="15"/>
    <col min="8" max="8" width="12.7109375" style="15" customWidth="1"/>
    <col min="9" max="9" width="9.140625" style="15"/>
    <col min="10" max="10" width="10.42578125" style="15" bestFit="1" customWidth="1"/>
    <col min="11" max="11" width="9.28515625" style="15" bestFit="1" customWidth="1"/>
    <col min="12" max="12" width="10.140625" style="15" bestFit="1" customWidth="1"/>
    <col min="13" max="15" width="9.5703125" style="15" bestFit="1" customWidth="1"/>
    <col min="16" max="16" width="11.140625" style="15" bestFit="1" customWidth="1"/>
    <col min="17" max="18" width="10" style="15" bestFit="1" customWidth="1"/>
    <col min="19" max="19" width="9.42578125" style="15" bestFit="1" customWidth="1"/>
    <col min="20" max="16384" width="9.140625" style="15"/>
  </cols>
  <sheetData>
    <row r="1" spans="2:19" x14ac:dyDescent="0.2">
      <c r="K1" s="45" t="str">
        <f t="shared" ref="K1:S1" si="0">IF($D$52=K3,"SALE"," ")</f>
        <v xml:space="preserve"> </v>
      </c>
      <c r="L1" s="45" t="str">
        <f t="shared" si="0"/>
        <v xml:space="preserve"> </v>
      </c>
      <c r="M1" s="45" t="str">
        <f t="shared" si="0"/>
        <v xml:space="preserve"> </v>
      </c>
      <c r="N1" s="45" t="str">
        <f t="shared" si="0"/>
        <v xml:space="preserve"> </v>
      </c>
      <c r="O1" s="45" t="str">
        <f t="shared" si="0"/>
        <v xml:space="preserve"> </v>
      </c>
      <c r="P1" s="64" t="str">
        <f t="shared" si="0"/>
        <v>SALE</v>
      </c>
      <c r="Q1" s="45" t="str">
        <f t="shared" si="0"/>
        <v xml:space="preserve"> </v>
      </c>
      <c r="R1" s="45" t="str">
        <f t="shared" si="0"/>
        <v xml:space="preserve"> </v>
      </c>
      <c r="S1" s="45" t="str">
        <f t="shared" si="0"/>
        <v xml:space="preserve"> </v>
      </c>
    </row>
    <row r="2" spans="2:19" x14ac:dyDescent="0.2">
      <c r="J2" s="16"/>
      <c r="K2" s="90">
        <v>2020</v>
      </c>
      <c r="L2" s="65">
        <f>$K$2+L3</f>
        <v>2021</v>
      </c>
      <c r="M2" s="65">
        <f t="shared" ref="M2:S2" si="1">$K$2+M3</f>
        <v>2022</v>
      </c>
      <c r="N2" s="65">
        <f t="shared" si="1"/>
        <v>2023</v>
      </c>
      <c r="O2" s="65">
        <f t="shared" si="1"/>
        <v>2024</v>
      </c>
      <c r="P2" s="65">
        <f t="shared" si="1"/>
        <v>2025</v>
      </c>
      <c r="Q2" s="65">
        <f t="shared" si="1"/>
        <v>2026</v>
      </c>
      <c r="R2" s="65">
        <f t="shared" si="1"/>
        <v>2027</v>
      </c>
      <c r="S2" s="65">
        <f t="shared" si="1"/>
        <v>2028</v>
      </c>
    </row>
    <row r="3" spans="2:19" x14ac:dyDescent="0.2">
      <c r="H3" s="17"/>
      <c r="I3" s="17" t="s">
        <v>11</v>
      </c>
      <c r="J3" s="17"/>
      <c r="K3" s="46" t="s">
        <v>62</v>
      </c>
      <c r="L3" s="46">
        <v>1</v>
      </c>
      <c r="M3" s="46">
        <v>2</v>
      </c>
      <c r="N3" s="46">
        <v>3</v>
      </c>
      <c r="O3" s="46">
        <v>4</v>
      </c>
      <c r="P3" s="46">
        <v>5</v>
      </c>
      <c r="Q3" s="46">
        <v>6</v>
      </c>
      <c r="R3" s="46">
        <v>7</v>
      </c>
      <c r="S3" s="46">
        <v>8</v>
      </c>
    </row>
    <row r="5" spans="2:19" x14ac:dyDescent="0.2">
      <c r="B5" s="173" t="s">
        <v>18</v>
      </c>
      <c r="C5" s="174"/>
      <c r="D5" s="174"/>
      <c r="E5" s="175"/>
      <c r="H5" s="22" t="s">
        <v>64</v>
      </c>
      <c r="I5" s="23"/>
      <c r="J5" s="23"/>
      <c r="K5" s="23"/>
      <c r="L5" s="24">
        <f>$F$37*$E$11/1000</f>
        <v>744</v>
      </c>
      <c r="M5" s="24">
        <f>$F$37*$E$11/1000</f>
        <v>744</v>
      </c>
      <c r="N5" s="24">
        <f>$F$37*$E$11/1000</f>
        <v>744</v>
      </c>
      <c r="O5" s="24">
        <f>$F$37*$E$11/1000</f>
        <v>744</v>
      </c>
      <c r="P5" s="24">
        <f>$F$37*$E$11/1000</f>
        <v>744</v>
      </c>
      <c r="Q5" s="24">
        <f>$F$38*$E$11/1000</f>
        <v>862.49991127919998</v>
      </c>
      <c r="R5" s="24">
        <f>$F$38*$E$11/1000</f>
        <v>862.49991127919998</v>
      </c>
      <c r="S5" s="25">
        <f>$F$38*$E$11/1000</f>
        <v>862.49991127919998</v>
      </c>
    </row>
    <row r="6" spans="2:19" x14ac:dyDescent="0.2">
      <c r="B6" s="176" t="s">
        <v>125</v>
      </c>
      <c r="C6" s="177"/>
      <c r="D6" s="177"/>
      <c r="E6" s="178"/>
      <c r="H6" s="33"/>
      <c r="I6" s="15" t="s">
        <v>65</v>
      </c>
      <c r="L6" s="18">
        <v>325</v>
      </c>
      <c r="M6" s="18">
        <f t="shared" ref="M6:S6" si="2">L6*(1+$F$39)</f>
        <v>334.75</v>
      </c>
      <c r="N6" s="18">
        <f t="shared" si="2"/>
        <v>344.79250000000002</v>
      </c>
      <c r="O6" s="18">
        <f t="shared" si="2"/>
        <v>355.13627500000001</v>
      </c>
      <c r="P6" s="18">
        <f t="shared" si="2"/>
        <v>365.79036325000004</v>
      </c>
      <c r="Q6" s="18">
        <f t="shared" si="2"/>
        <v>376.76407414750003</v>
      </c>
      <c r="R6" s="18">
        <f t="shared" si="2"/>
        <v>388.06699637192503</v>
      </c>
      <c r="S6" s="27">
        <f t="shared" si="2"/>
        <v>399.70900626308281</v>
      </c>
    </row>
    <row r="7" spans="2:19" x14ac:dyDescent="0.2">
      <c r="B7" s="33"/>
      <c r="C7" s="15" t="s">
        <v>19</v>
      </c>
      <c r="D7" s="15" t="s">
        <v>20</v>
      </c>
      <c r="E7" s="83">
        <v>10.55</v>
      </c>
      <c r="H7" s="33"/>
      <c r="S7" s="34"/>
    </row>
    <row r="8" spans="2:19" x14ac:dyDescent="0.2">
      <c r="B8" s="33"/>
      <c r="C8" s="15" t="s">
        <v>21</v>
      </c>
      <c r="D8" s="15" t="s">
        <v>22</v>
      </c>
      <c r="E8" s="49">
        <f>E7*43560</f>
        <v>459558.00000000006</v>
      </c>
      <c r="H8" s="33" t="s">
        <v>66</v>
      </c>
      <c r="L8" s="18">
        <f t="shared" ref="L8:S8" si="3">SUM(L5:L7)</f>
        <v>1069</v>
      </c>
      <c r="M8" s="18">
        <f t="shared" si="3"/>
        <v>1078.75</v>
      </c>
      <c r="N8" s="18">
        <f t="shared" si="3"/>
        <v>1088.7925</v>
      </c>
      <c r="O8" s="18">
        <f t="shared" si="3"/>
        <v>1099.1362750000001</v>
      </c>
      <c r="P8" s="18">
        <f t="shared" si="3"/>
        <v>1109.7903632500002</v>
      </c>
      <c r="Q8" s="18">
        <f t="shared" si="3"/>
        <v>1239.2639854266999</v>
      </c>
      <c r="R8" s="18">
        <f t="shared" si="3"/>
        <v>1250.5669076511249</v>
      </c>
      <c r="S8" s="27">
        <f t="shared" si="3"/>
        <v>1262.2089175422827</v>
      </c>
    </row>
    <row r="9" spans="2:19" x14ac:dyDescent="0.2">
      <c r="B9" s="33"/>
      <c r="C9" s="15" t="s">
        <v>23</v>
      </c>
      <c r="D9" s="15" t="s">
        <v>24</v>
      </c>
      <c r="E9" s="84">
        <v>3000000</v>
      </c>
      <c r="H9" s="33"/>
      <c r="S9" s="34"/>
    </row>
    <row r="10" spans="2:19" x14ac:dyDescent="0.2">
      <c r="B10" s="33"/>
      <c r="C10" s="15" t="s">
        <v>25</v>
      </c>
      <c r="E10" s="84">
        <v>6700000</v>
      </c>
      <c r="H10" s="33"/>
      <c r="I10" s="15" t="s">
        <v>69</v>
      </c>
      <c r="L10" s="18">
        <f t="shared" ref="L10:S10" si="4">L8*-$F$40</f>
        <v>-53.45</v>
      </c>
      <c r="M10" s="18">
        <f t="shared" si="4"/>
        <v>-53.9375</v>
      </c>
      <c r="N10" s="18">
        <f t="shared" si="4"/>
        <v>-54.439625000000007</v>
      </c>
      <c r="O10" s="18">
        <f t="shared" si="4"/>
        <v>-54.956813750000009</v>
      </c>
      <c r="P10" s="18">
        <f t="shared" si="4"/>
        <v>-55.489518162500012</v>
      </c>
      <c r="Q10" s="18">
        <f t="shared" si="4"/>
        <v>-61.963199271335</v>
      </c>
      <c r="R10" s="18">
        <f t="shared" si="4"/>
        <v>-62.528345382556246</v>
      </c>
      <c r="S10" s="27">
        <f t="shared" si="4"/>
        <v>-63.110445877114138</v>
      </c>
    </row>
    <row r="11" spans="2:19" x14ac:dyDescent="0.2">
      <c r="B11" s="33"/>
      <c r="C11" s="15" t="s">
        <v>26</v>
      </c>
      <c r="D11" s="15" t="s">
        <v>27</v>
      </c>
      <c r="E11" s="81">
        <v>160000</v>
      </c>
      <c r="H11" s="33"/>
      <c r="S11" s="34"/>
    </row>
    <row r="12" spans="2:19" x14ac:dyDescent="0.2">
      <c r="B12" s="33"/>
      <c r="C12" s="15" t="s">
        <v>28</v>
      </c>
      <c r="D12" s="15" t="s">
        <v>29</v>
      </c>
      <c r="E12" s="82">
        <v>75</v>
      </c>
      <c r="H12" s="33" t="s">
        <v>70</v>
      </c>
      <c r="L12" s="18">
        <f>L10+L8</f>
        <v>1015.55</v>
      </c>
      <c r="M12" s="18">
        <f t="shared" ref="M12:S12" si="5">M10+M8</f>
        <v>1024.8125</v>
      </c>
      <c r="N12" s="18">
        <f t="shared" si="5"/>
        <v>1034.352875</v>
      </c>
      <c r="O12" s="18">
        <f t="shared" si="5"/>
        <v>1044.17946125</v>
      </c>
      <c r="P12" s="18">
        <f t="shared" si="5"/>
        <v>1054.3008450875002</v>
      </c>
      <c r="Q12" s="18">
        <f t="shared" si="5"/>
        <v>1177.3007861553649</v>
      </c>
      <c r="R12" s="18">
        <f t="shared" si="5"/>
        <v>1188.0385622685687</v>
      </c>
      <c r="S12" s="27">
        <f t="shared" si="5"/>
        <v>1199.0984716651685</v>
      </c>
    </row>
    <row r="13" spans="2:19" x14ac:dyDescent="0.2">
      <c r="B13" s="33"/>
      <c r="C13" s="15" t="s">
        <v>30</v>
      </c>
      <c r="E13" s="27">
        <f>E12*E11</f>
        <v>12000000</v>
      </c>
      <c r="H13" s="33"/>
      <c r="S13" s="34"/>
    </row>
    <row r="14" spans="2:19" x14ac:dyDescent="0.2">
      <c r="B14" s="33"/>
      <c r="C14" s="15" t="s">
        <v>31</v>
      </c>
      <c r="D14" s="15" t="s">
        <v>32</v>
      </c>
      <c r="E14" s="81">
        <v>39</v>
      </c>
      <c r="H14" s="33"/>
      <c r="I14" s="15" t="s">
        <v>71</v>
      </c>
      <c r="L14" s="18">
        <v>75</v>
      </c>
      <c r="M14" s="18">
        <f t="shared" ref="M14:S17" si="6">L14*(1+$F$39)</f>
        <v>77.25</v>
      </c>
      <c r="N14" s="18">
        <f t="shared" si="6"/>
        <v>79.567499999999995</v>
      </c>
      <c r="O14" s="18">
        <f t="shared" si="6"/>
        <v>81.954525000000004</v>
      </c>
      <c r="P14" s="18">
        <f t="shared" si="6"/>
        <v>84.413160750000003</v>
      </c>
      <c r="Q14" s="18">
        <f t="shared" si="6"/>
        <v>86.945555572499998</v>
      </c>
      <c r="R14" s="18">
        <f t="shared" si="6"/>
        <v>89.553922239675003</v>
      </c>
      <c r="S14" s="27">
        <f t="shared" si="6"/>
        <v>92.240539906865251</v>
      </c>
    </row>
    <row r="15" spans="2:19" x14ac:dyDescent="0.2">
      <c r="B15" s="28"/>
      <c r="C15" s="31" t="s">
        <v>31</v>
      </c>
      <c r="D15" s="31" t="s">
        <v>33</v>
      </c>
      <c r="E15" s="36">
        <f>E10/E14</f>
        <v>171794.87179487178</v>
      </c>
      <c r="H15" s="33"/>
      <c r="I15" s="15" t="s">
        <v>72</v>
      </c>
      <c r="L15" s="18">
        <v>203</v>
      </c>
      <c r="M15" s="18">
        <f t="shared" si="6"/>
        <v>209.09</v>
      </c>
      <c r="N15" s="18">
        <f t="shared" si="6"/>
        <v>215.36270000000002</v>
      </c>
      <c r="O15" s="18">
        <f t="shared" si="6"/>
        <v>221.82358100000002</v>
      </c>
      <c r="P15" s="18">
        <f t="shared" si="6"/>
        <v>228.47828843000002</v>
      </c>
      <c r="Q15" s="18">
        <f t="shared" si="6"/>
        <v>235.33263708290002</v>
      </c>
      <c r="R15" s="18">
        <f t="shared" si="6"/>
        <v>242.39261619538703</v>
      </c>
      <c r="S15" s="27">
        <f t="shared" si="6"/>
        <v>249.66439468124867</v>
      </c>
    </row>
    <row r="16" spans="2:19" x14ac:dyDescent="0.2">
      <c r="G16" s="21"/>
      <c r="H16" s="33"/>
      <c r="I16" s="15" t="s">
        <v>73</v>
      </c>
      <c r="L16" s="18">
        <v>13</v>
      </c>
      <c r="M16" s="18">
        <f t="shared" si="6"/>
        <v>13.39</v>
      </c>
      <c r="N16" s="18">
        <f t="shared" si="6"/>
        <v>13.791700000000001</v>
      </c>
      <c r="O16" s="18">
        <f t="shared" si="6"/>
        <v>14.205451</v>
      </c>
      <c r="P16" s="18">
        <f t="shared" si="6"/>
        <v>14.63161453</v>
      </c>
      <c r="Q16" s="18">
        <f t="shared" si="6"/>
        <v>15.070562965900001</v>
      </c>
      <c r="R16" s="18">
        <f t="shared" si="6"/>
        <v>15.522679854877001</v>
      </c>
      <c r="S16" s="27">
        <f t="shared" si="6"/>
        <v>15.988360250523312</v>
      </c>
    </row>
    <row r="17" spans="2:19" x14ac:dyDescent="0.2">
      <c r="B17" s="44" t="s">
        <v>0</v>
      </c>
      <c r="C17" s="50"/>
      <c r="D17" s="47" t="s">
        <v>24</v>
      </c>
      <c r="E17" s="47" t="s">
        <v>40</v>
      </c>
      <c r="F17" s="48" t="s">
        <v>41</v>
      </c>
      <c r="G17" s="21"/>
      <c r="H17" s="33"/>
      <c r="I17" s="15" t="s">
        <v>74</v>
      </c>
      <c r="L17" s="18">
        <v>34</v>
      </c>
      <c r="M17" s="18">
        <f t="shared" si="6"/>
        <v>35.020000000000003</v>
      </c>
      <c r="N17" s="18">
        <f t="shared" si="6"/>
        <v>36.070600000000006</v>
      </c>
      <c r="O17" s="18">
        <f t="shared" si="6"/>
        <v>37.152718000000007</v>
      </c>
      <c r="P17" s="18">
        <f t="shared" si="6"/>
        <v>38.26729954000001</v>
      </c>
      <c r="Q17" s="18">
        <f t="shared" si="6"/>
        <v>39.415318526200011</v>
      </c>
      <c r="R17" s="18">
        <f t="shared" si="6"/>
        <v>40.597778081986014</v>
      </c>
      <c r="S17" s="27">
        <f t="shared" si="6"/>
        <v>41.815711424445595</v>
      </c>
    </row>
    <row r="18" spans="2:19" x14ac:dyDescent="0.2">
      <c r="B18" s="51" t="s">
        <v>34</v>
      </c>
      <c r="F18" s="34"/>
      <c r="H18" s="33"/>
      <c r="I18" s="15" t="s">
        <v>75</v>
      </c>
      <c r="L18" s="18">
        <v>32</v>
      </c>
      <c r="M18" s="18">
        <f t="shared" ref="M18:S18" si="7">$L$18</f>
        <v>32</v>
      </c>
      <c r="N18" s="18">
        <f t="shared" si="7"/>
        <v>32</v>
      </c>
      <c r="O18" s="18">
        <f t="shared" si="7"/>
        <v>32</v>
      </c>
      <c r="P18" s="18">
        <f t="shared" si="7"/>
        <v>32</v>
      </c>
      <c r="Q18" s="18">
        <f t="shared" si="7"/>
        <v>32</v>
      </c>
      <c r="R18" s="18">
        <f t="shared" si="7"/>
        <v>32</v>
      </c>
      <c r="S18" s="27">
        <f t="shared" si="7"/>
        <v>32</v>
      </c>
    </row>
    <row r="19" spans="2:19" x14ac:dyDescent="0.2">
      <c r="B19" s="33"/>
      <c r="C19" s="15" t="s">
        <v>35</v>
      </c>
      <c r="D19" s="18">
        <f>F29</f>
        <v>7760</v>
      </c>
      <c r="E19" s="20">
        <f>D19/$E$11*1000</f>
        <v>48.5</v>
      </c>
      <c r="F19" s="52">
        <f>D19/$D$21</f>
        <v>0.8</v>
      </c>
      <c r="H19" s="33" t="s">
        <v>76</v>
      </c>
      <c r="L19" s="59">
        <f>SUM(L14:L18)</f>
        <v>357</v>
      </c>
      <c r="M19" s="59">
        <f t="shared" ref="M19:S19" si="8">SUM(M14:M18)</f>
        <v>366.75</v>
      </c>
      <c r="N19" s="59">
        <f t="shared" si="8"/>
        <v>376.79250000000002</v>
      </c>
      <c r="O19" s="59">
        <f t="shared" si="8"/>
        <v>387.13627500000001</v>
      </c>
      <c r="P19" s="59">
        <f t="shared" si="8"/>
        <v>397.79036324999998</v>
      </c>
      <c r="Q19" s="59">
        <f t="shared" si="8"/>
        <v>408.76407414750003</v>
      </c>
      <c r="R19" s="59">
        <f t="shared" si="8"/>
        <v>420.06699637192509</v>
      </c>
      <c r="S19" s="60">
        <f t="shared" si="8"/>
        <v>431.70900626308287</v>
      </c>
    </row>
    <row r="20" spans="2:19" x14ac:dyDescent="0.2">
      <c r="B20" s="33"/>
      <c r="C20" s="15" t="s">
        <v>36</v>
      </c>
      <c r="D20" s="18">
        <f>D24*(1-E29)</f>
        <v>1939.9999999999995</v>
      </c>
      <c r="E20" s="20">
        <f>D20/$E$11*1000</f>
        <v>12.124999999999996</v>
      </c>
      <c r="F20" s="52">
        <f>D20/$D$21</f>
        <v>0.19999999999999996</v>
      </c>
      <c r="H20" s="33" t="s">
        <v>126</v>
      </c>
      <c r="L20" s="18">
        <f t="shared" ref="L20:S20" si="9">IF($C$42=L$3,-$E$45,0)</f>
        <v>0</v>
      </c>
      <c r="M20" s="18">
        <f t="shared" si="9"/>
        <v>0</v>
      </c>
      <c r="N20" s="18">
        <f t="shared" si="9"/>
        <v>0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</row>
    <row r="21" spans="2:19" x14ac:dyDescent="0.2">
      <c r="B21" s="33"/>
      <c r="C21" s="15" t="s">
        <v>30</v>
      </c>
      <c r="D21" s="18">
        <f>SUM(D19:D20)</f>
        <v>9700</v>
      </c>
      <c r="E21" s="20">
        <f>SUM(E19:E20)</f>
        <v>60.625</v>
      </c>
      <c r="F21" s="34"/>
      <c r="H21" s="15" t="s">
        <v>128</v>
      </c>
      <c r="L21" s="18">
        <f t="shared" ref="L21:S21" si="10">IF($C$42=L$3,-$E$48,0)</f>
        <v>0</v>
      </c>
      <c r="M21" s="18">
        <f t="shared" si="10"/>
        <v>0</v>
      </c>
      <c r="N21" s="18">
        <f t="shared" si="10"/>
        <v>0</v>
      </c>
      <c r="O21" s="18">
        <f t="shared" si="10"/>
        <v>0</v>
      </c>
      <c r="P21" s="18">
        <f t="shared" si="10"/>
        <v>0</v>
      </c>
      <c r="Q21" s="18">
        <f t="shared" si="10"/>
        <v>0</v>
      </c>
      <c r="R21" s="18">
        <f t="shared" si="10"/>
        <v>0</v>
      </c>
      <c r="S21" s="18">
        <f t="shared" si="10"/>
        <v>0</v>
      </c>
    </row>
    <row r="22" spans="2:19" ht="15" x14ac:dyDescent="0.25">
      <c r="B22" s="33"/>
      <c r="F22" s="34"/>
      <c r="H22" s="61" t="s">
        <v>48</v>
      </c>
      <c r="I22" s="62"/>
      <c r="J22" s="62"/>
      <c r="K22" s="62"/>
      <c r="L22" s="63">
        <f t="shared" ref="L22:P22" si="11">L12-L19+L20+L21</f>
        <v>658.55</v>
      </c>
      <c r="M22" s="63">
        <f t="shared" si="11"/>
        <v>658.0625</v>
      </c>
      <c r="N22" s="63">
        <f t="shared" si="11"/>
        <v>657.56037500000002</v>
      </c>
      <c r="O22" s="63">
        <f t="shared" si="11"/>
        <v>657.04318624999996</v>
      </c>
      <c r="P22" s="63">
        <f t="shared" si="11"/>
        <v>656.51048183750027</v>
      </c>
      <c r="Q22" s="63">
        <f>Q12-Q19+Q20+Q21</f>
        <v>768.53671200786494</v>
      </c>
      <c r="R22" s="63">
        <f>R12-R19+R20+R21</f>
        <v>767.9715658966436</v>
      </c>
      <c r="S22" s="63">
        <f>S12-S19+S20+S21</f>
        <v>767.38946540208565</v>
      </c>
    </row>
    <row r="23" spans="2:19" x14ac:dyDescent="0.2">
      <c r="B23" s="51" t="s">
        <v>37</v>
      </c>
      <c r="F23" s="34"/>
    </row>
    <row r="24" spans="2:19" x14ac:dyDescent="0.2">
      <c r="B24" s="33"/>
      <c r="C24" s="15" t="s">
        <v>38</v>
      </c>
      <c r="D24" s="80">
        <v>9700</v>
      </c>
      <c r="F24" s="34"/>
      <c r="H24" s="22" t="s">
        <v>86</v>
      </c>
      <c r="I24" s="23"/>
      <c r="J24" s="24"/>
      <c r="K24" s="24"/>
      <c r="L24" s="24">
        <f t="shared" ref="L24:S24" si="12">IF($D$52=L3,$D$58,0)</f>
        <v>0</v>
      </c>
      <c r="M24" s="24">
        <f t="shared" si="12"/>
        <v>0</v>
      </c>
      <c r="N24" s="24">
        <f t="shared" si="12"/>
        <v>0</v>
      </c>
      <c r="O24" s="24">
        <f t="shared" si="12"/>
        <v>0</v>
      </c>
      <c r="P24" s="24">
        <f t="shared" si="12"/>
        <v>10430.141091535308</v>
      </c>
      <c r="Q24" s="24">
        <f t="shared" si="12"/>
        <v>0</v>
      </c>
      <c r="R24" s="24">
        <f t="shared" si="12"/>
        <v>0</v>
      </c>
      <c r="S24" s="25">
        <f t="shared" si="12"/>
        <v>0</v>
      </c>
    </row>
    <row r="25" spans="2:19" x14ac:dyDescent="0.2">
      <c r="B25" s="33"/>
      <c r="C25" s="15" t="s">
        <v>39</v>
      </c>
      <c r="D25" s="80">
        <v>0</v>
      </c>
      <c r="F25" s="34"/>
      <c r="H25" s="26" t="s">
        <v>88</v>
      </c>
      <c r="K25" s="18">
        <f>-D26</f>
        <v>-9700</v>
      </c>
      <c r="L25" s="18">
        <f t="shared" ref="L25:S25" si="13">IF($D$52&gt;L3,L22+L24,IF($D$52=L3,L24+L22,0))</f>
        <v>658.55</v>
      </c>
      <c r="M25" s="18">
        <f t="shared" si="13"/>
        <v>658.0625</v>
      </c>
      <c r="N25" s="18">
        <f t="shared" si="13"/>
        <v>657.56037500000002</v>
      </c>
      <c r="O25" s="18">
        <f t="shared" si="13"/>
        <v>657.04318624999996</v>
      </c>
      <c r="P25" s="18">
        <f t="shared" si="13"/>
        <v>11086.651573372808</v>
      </c>
      <c r="Q25" s="18">
        <f t="shared" si="13"/>
        <v>0</v>
      </c>
      <c r="R25" s="18">
        <f t="shared" si="13"/>
        <v>0</v>
      </c>
      <c r="S25" s="27">
        <f t="shared" si="13"/>
        <v>0</v>
      </c>
    </row>
    <row r="26" spans="2:19" x14ac:dyDescent="0.2">
      <c r="B26" s="28"/>
      <c r="C26" s="31" t="s">
        <v>30</v>
      </c>
      <c r="D26" s="35">
        <f>D25+D24</f>
        <v>9700</v>
      </c>
      <c r="E26" s="31"/>
      <c r="F26" s="32"/>
      <c r="H26" s="28"/>
      <c r="I26" s="29" t="s">
        <v>83</v>
      </c>
      <c r="J26" s="30">
        <f>IF($D$52=$L$3,IRR(K25:L25),IF($D$52=$M$3,IRR(K25:M25),IF($D$52=$N$3,IRR(K25:N25),IF($D$52=$O$3,IRR(K25:O25),IF($D$52=$P$3,IRR(K25:P25),IF($D$52=$Q$3,IRR(K25:Q25),IF($D$52=$R$3,IRR(K25:R25),IF($D$52=$S$3,IRR(K25:S25),0))))))))</f>
        <v>8.0611313491384617E-2</v>
      </c>
      <c r="K26" s="31"/>
      <c r="L26" s="31"/>
      <c r="M26" s="31"/>
      <c r="N26" s="31"/>
      <c r="O26" s="31"/>
      <c r="P26" s="31"/>
      <c r="Q26" s="31"/>
      <c r="R26" s="31"/>
      <c r="S26" s="32"/>
    </row>
    <row r="27" spans="2:19" x14ac:dyDescent="0.2">
      <c r="D27" s="18"/>
      <c r="G27" s="18"/>
      <c r="I27" s="37"/>
      <c r="J27" s="40"/>
    </row>
    <row r="28" spans="2:19" x14ac:dyDescent="0.2">
      <c r="B28" s="173" t="s">
        <v>1</v>
      </c>
      <c r="C28" s="174"/>
      <c r="D28" s="174"/>
      <c r="E28" s="174"/>
      <c r="F28" s="175"/>
      <c r="H28" s="41" t="s">
        <v>81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</row>
    <row r="29" spans="2:19" x14ac:dyDescent="0.2">
      <c r="B29" s="33"/>
      <c r="C29" s="15" t="s">
        <v>2</v>
      </c>
      <c r="D29" s="15" t="s">
        <v>3</v>
      </c>
      <c r="E29" s="74">
        <v>0.8</v>
      </c>
      <c r="F29" s="27">
        <f>E29*D24</f>
        <v>7760</v>
      </c>
      <c r="H29" s="33"/>
      <c r="I29" s="15" t="s">
        <v>77</v>
      </c>
      <c r="L29" s="18">
        <f t="shared" ref="L29:S29" si="14">-$E$34</f>
        <v>-444.56912313743595</v>
      </c>
      <c r="M29" s="18">
        <f t="shared" si="14"/>
        <v>-444.56912313743595</v>
      </c>
      <c r="N29" s="18">
        <f t="shared" si="14"/>
        <v>-444.56912313743595</v>
      </c>
      <c r="O29" s="18">
        <f t="shared" si="14"/>
        <v>-444.56912313743595</v>
      </c>
      <c r="P29" s="18">
        <f t="shared" si="14"/>
        <v>-444.56912313743595</v>
      </c>
      <c r="Q29" s="18">
        <f t="shared" si="14"/>
        <v>-444.56912313743595</v>
      </c>
      <c r="R29" s="18">
        <f t="shared" si="14"/>
        <v>-444.56912313743595</v>
      </c>
      <c r="S29" s="27">
        <f t="shared" si="14"/>
        <v>-444.56912313743595</v>
      </c>
    </row>
    <row r="30" spans="2:19" x14ac:dyDescent="0.2">
      <c r="B30" s="33"/>
      <c r="C30" s="15" t="s">
        <v>42</v>
      </c>
      <c r="F30" s="34"/>
      <c r="H30" s="33" t="s">
        <v>79</v>
      </c>
      <c r="L30" s="18">
        <f t="shared" ref="L30:S30" si="15">L29+L22</f>
        <v>213.980876862564</v>
      </c>
      <c r="M30" s="18">
        <f t="shared" si="15"/>
        <v>213.49337686256405</v>
      </c>
      <c r="N30" s="18">
        <f t="shared" si="15"/>
        <v>212.99125186256407</v>
      </c>
      <c r="O30" s="18">
        <f t="shared" si="15"/>
        <v>212.47406311256401</v>
      </c>
      <c r="P30" s="18">
        <f t="shared" si="15"/>
        <v>211.94135870006431</v>
      </c>
      <c r="Q30" s="18">
        <f t="shared" si="15"/>
        <v>323.96758887042898</v>
      </c>
      <c r="R30" s="18">
        <f t="shared" si="15"/>
        <v>323.40244275920764</v>
      </c>
      <c r="S30" s="27">
        <f t="shared" si="15"/>
        <v>322.8203422646497</v>
      </c>
    </row>
    <row r="31" spans="2:19" x14ac:dyDescent="0.2">
      <c r="B31" s="33"/>
      <c r="C31" s="15" t="s">
        <v>43</v>
      </c>
      <c r="E31" s="74">
        <v>0.04</v>
      </c>
      <c r="F31" s="34"/>
      <c r="H31" s="33"/>
      <c r="S31" s="34"/>
    </row>
    <row r="32" spans="2:19" x14ac:dyDescent="0.2">
      <c r="B32" s="33"/>
      <c r="C32" s="15" t="s">
        <v>45</v>
      </c>
      <c r="D32" s="15" t="s">
        <v>32</v>
      </c>
      <c r="E32" s="75">
        <v>30</v>
      </c>
      <c r="F32" s="34"/>
      <c r="H32" s="33" t="s">
        <v>85</v>
      </c>
      <c r="K32" s="18">
        <f>-D20</f>
        <v>-1939.9999999999995</v>
      </c>
      <c r="L32" s="18">
        <f>IF($D$52=L3,-Amortization!K3,0)</f>
        <v>0</v>
      </c>
      <c r="M32" s="18">
        <f>IF($D$52=M3,-Amortization!L3,0)</f>
        <v>0</v>
      </c>
      <c r="N32" s="18">
        <f>IF($D$52=N3,-Amortization!M3,0)</f>
        <v>0</v>
      </c>
      <c r="O32" s="18">
        <f>IF($D$52=O3,-Amortization!N3,0)</f>
        <v>0</v>
      </c>
      <c r="P32" s="18">
        <f>IF($D$52=P3,-Amortization!O3,0)</f>
        <v>-7018.7270193606364</v>
      </c>
      <c r="Q32" s="18">
        <f>IF($D$52=Q3,-Amortization!P3,0)</f>
        <v>0</v>
      </c>
      <c r="R32" s="18">
        <f>IF($D$52=R3,-Amortization!Q3,0)</f>
        <v>0</v>
      </c>
      <c r="S32" s="27">
        <f>IF($D$52=S3,-Amortization!R3,0)</f>
        <v>0</v>
      </c>
    </row>
    <row r="33" spans="2:19" x14ac:dyDescent="0.2">
      <c r="B33" s="33"/>
      <c r="C33" s="15" t="s">
        <v>44</v>
      </c>
      <c r="D33" s="15" t="s">
        <v>32</v>
      </c>
      <c r="E33" s="76">
        <v>7</v>
      </c>
      <c r="F33" s="34"/>
      <c r="H33" s="33"/>
      <c r="S33" s="34"/>
    </row>
    <row r="34" spans="2:19" x14ac:dyDescent="0.2">
      <c r="B34" s="28"/>
      <c r="C34" s="31" t="s">
        <v>78</v>
      </c>
      <c r="D34" s="31"/>
      <c r="E34" s="35">
        <f>Amortization!D7*12</f>
        <v>444.56912313743595</v>
      </c>
      <c r="F34" s="32"/>
      <c r="H34" s="26" t="s">
        <v>89</v>
      </c>
      <c r="K34" s="18">
        <f>K32+J30+J24</f>
        <v>-1939.9999999999995</v>
      </c>
      <c r="L34" s="18">
        <f t="shared" ref="L34:S34" si="16">IF($D$52&gt;L3,L32+L30+L24,IF($D$52=L3,L32+L30+L24,0))</f>
        <v>213.980876862564</v>
      </c>
      <c r="M34" s="18">
        <f t="shared" si="16"/>
        <v>213.49337686256405</v>
      </c>
      <c r="N34" s="18">
        <f t="shared" si="16"/>
        <v>212.99125186256407</v>
      </c>
      <c r="O34" s="18">
        <f t="shared" si="16"/>
        <v>212.47406311256401</v>
      </c>
      <c r="P34" s="18">
        <f t="shared" si="16"/>
        <v>3623.3554308747362</v>
      </c>
      <c r="Q34" s="18">
        <f t="shared" si="16"/>
        <v>0</v>
      </c>
      <c r="R34" s="18">
        <f t="shared" si="16"/>
        <v>0</v>
      </c>
      <c r="S34" s="27">
        <f t="shared" si="16"/>
        <v>0</v>
      </c>
    </row>
    <row r="35" spans="2:19" x14ac:dyDescent="0.2">
      <c r="E35" s="19"/>
      <c r="H35" s="28"/>
      <c r="I35" s="29" t="s">
        <v>83</v>
      </c>
      <c r="J35" s="30">
        <f>IF($D$52=$L$3,IRR(K34:L34),IF($D$52=$M$3,IRR(K34:M34),IF($D$52=$N$3,IRR(K34:N34),IF($D$52=$O$3,IRR(K34:O34),IF($D$52=$P$3,IRR(K34:P34),IF($D$52=$Q$3,IRR(K34:Q34),IF($D$52=$R$3,IRR(K34:R34),IF($D$52=$S$3,IRR(K34:S34),0))))))))</f>
        <v>0.20984850232370689</v>
      </c>
      <c r="K35" s="31"/>
      <c r="L35" s="31"/>
      <c r="M35" s="31"/>
      <c r="N35" s="31"/>
      <c r="O35" s="31"/>
      <c r="P35" s="31"/>
      <c r="Q35" s="31"/>
      <c r="R35" s="31"/>
      <c r="S35" s="32"/>
    </row>
    <row r="36" spans="2:19" x14ac:dyDescent="0.2">
      <c r="B36" s="173" t="s">
        <v>63</v>
      </c>
      <c r="C36" s="174"/>
      <c r="D36" s="174"/>
      <c r="E36" s="174"/>
      <c r="F36" s="175"/>
    </row>
    <row r="37" spans="2:19" x14ac:dyDescent="0.2">
      <c r="B37" s="33"/>
      <c r="C37" s="15" t="s">
        <v>123</v>
      </c>
      <c r="F37" s="79">
        <v>4.6500000000000004</v>
      </c>
      <c r="H37" s="44" t="s">
        <v>87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3"/>
    </row>
    <row r="38" spans="2:19" x14ac:dyDescent="0.2">
      <c r="B38" s="33"/>
      <c r="C38" s="15" t="s">
        <v>122</v>
      </c>
      <c r="D38" s="77">
        <v>0.03</v>
      </c>
      <c r="E38" s="15" t="s">
        <v>124</v>
      </c>
      <c r="F38" s="71">
        <f>-FV(D38,5,,F37)</f>
        <v>5.3906244454949999</v>
      </c>
      <c r="H38" s="33" t="s">
        <v>80</v>
      </c>
      <c r="L38" s="18">
        <f>Amortization!K2</f>
        <v>307.91269591707623</v>
      </c>
      <c r="M38" s="18">
        <f>Amortization!L2</f>
        <v>302.34510222221292</v>
      </c>
      <c r="N38" s="18">
        <f>Amortization!M2</f>
        <v>296.55067616987026</v>
      </c>
      <c r="O38" s="18">
        <f>Amortization!N2</f>
        <v>290.52017625982057</v>
      </c>
      <c r="P38" s="18">
        <f>Amortization!O2</f>
        <v>284.24398447885784</v>
      </c>
      <c r="Q38" s="18">
        <f>Amortization!P2</f>
        <v>277.71209096107816</v>
      </c>
      <c r="R38" s="18">
        <f>Amortization!Q2</f>
        <v>270.9140780231964</v>
      </c>
      <c r="S38" s="27">
        <f>Amortization!R2</f>
        <v>263.83910354943657</v>
      </c>
    </row>
    <row r="39" spans="2:19" x14ac:dyDescent="0.2">
      <c r="B39" s="33"/>
      <c r="C39" s="15" t="s">
        <v>67</v>
      </c>
      <c r="F39" s="78">
        <v>0.03</v>
      </c>
      <c r="H39" s="33" t="s">
        <v>82</v>
      </c>
      <c r="L39" s="18">
        <f t="shared" ref="L39:S39" si="17">($E$10/1000)/$E$62</f>
        <v>171.7948717948718</v>
      </c>
      <c r="M39" s="18">
        <f t="shared" si="17"/>
        <v>171.7948717948718</v>
      </c>
      <c r="N39" s="18">
        <f t="shared" si="17"/>
        <v>171.7948717948718</v>
      </c>
      <c r="O39" s="18">
        <f t="shared" si="17"/>
        <v>171.7948717948718</v>
      </c>
      <c r="P39" s="18">
        <f t="shared" si="17"/>
        <v>171.7948717948718</v>
      </c>
      <c r="Q39" s="18">
        <f t="shared" si="17"/>
        <v>171.7948717948718</v>
      </c>
      <c r="R39" s="18">
        <f t="shared" si="17"/>
        <v>171.7948717948718</v>
      </c>
      <c r="S39" s="27">
        <f t="shared" si="17"/>
        <v>171.7948717948718</v>
      </c>
    </row>
    <row r="40" spans="2:19" x14ac:dyDescent="0.2">
      <c r="B40" s="33"/>
      <c r="C40" s="15" t="s">
        <v>68</v>
      </c>
      <c r="F40" s="78">
        <v>0.05</v>
      </c>
      <c r="H40" s="33" t="s">
        <v>75</v>
      </c>
      <c r="L40" s="18">
        <f t="shared" ref="L40:S40" si="18">L18</f>
        <v>32</v>
      </c>
      <c r="M40" s="18">
        <f t="shared" si="18"/>
        <v>32</v>
      </c>
      <c r="N40" s="18">
        <f t="shared" si="18"/>
        <v>32</v>
      </c>
      <c r="O40" s="18">
        <f t="shared" si="18"/>
        <v>32</v>
      </c>
      <c r="P40" s="18">
        <f t="shared" si="18"/>
        <v>32</v>
      </c>
      <c r="Q40" s="18">
        <f t="shared" si="18"/>
        <v>32</v>
      </c>
      <c r="R40" s="18">
        <f t="shared" si="18"/>
        <v>32</v>
      </c>
      <c r="S40" s="27">
        <f t="shared" si="18"/>
        <v>32</v>
      </c>
    </row>
    <row r="41" spans="2:19" x14ac:dyDescent="0.2">
      <c r="B41" s="26" t="s">
        <v>135</v>
      </c>
      <c r="F41" s="34"/>
      <c r="H41" s="33" t="s">
        <v>100</v>
      </c>
      <c r="L41" s="18">
        <f t="shared" ref="L41:S41" si="19">L22-(-L40+L39)</f>
        <v>518.75512820512813</v>
      </c>
      <c r="M41" s="18">
        <f t="shared" si="19"/>
        <v>518.26762820512818</v>
      </c>
      <c r="N41" s="18">
        <f t="shared" si="19"/>
        <v>517.7655032051282</v>
      </c>
      <c r="O41" s="18">
        <f t="shared" si="19"/>
        <v>517.24831445512814</v>
      </c>
      <c r="P41" s="18">
        <f t="shared" si="19"/>
        <v>516.71561004262844</v>
      </c>
      <c r="Q41" s="18">
        <f t="shared" si="19"/>
        <v>628.74184021299311</v>
      </c>
      <c r="R41" s="18">
        <f t="shared" si="19"/>
        <v>628.17669410177177</v>
      </c>
      <c r="S41" s="27">
        <f t="shared" si="19"/>
        <v>627.59459360721382</v>
      </c>
    </row>
    <row r="42" spans="2:19" x14ac:dyDescent="0.2">
      <c r="B42" s="33"/>
      <c r="C42" s="86">
        <v>0</v>
      </c>
      <c r="D42" s="31" t="s">
        <v>11</v>
      </c>
      <c r="E42" s="87">
        <v>160000</v>
      </c>
      <c r="F42" s="32" t="s">
        <v>133</v>
      </c>
      <c r="H42" s="33" t="s">
        <v>90</v>
      </c>
      <c r="I42" s="15" t="s">
        <v>91</v>
      </c>
      <c r="L42" s="18">
        <f>$L$22-($L$38-$L$40+$L$39)</f>
        <v>210.8424322880519</v>
      </c>
      <c r="M42" s="18">
        <f t="shared" ref="M42:S42" si="20">M22-(M38-M40+M39)</f>
        <v>215.92252598291532</v>
      </c>
      <c r="N42" s="18">
        <f t="shared" si="20"/>
        <v>221.21482703525794</v>
      </c>
      <c r="O42" s="18">
        <f t="shared" si="20"/>
        <v>226.72813819530757</v>
      </c>
      <c r="P42" s="18">
        <f t="shared" si="20"/>
        <v>232.47162556377066</v>
      </c>
      <c r="Q42" s="18">
        <f t="shared" si="20"/>
        <v>351.02974925191495</v>
      </c>
      <c r="R42" s="18">
        <f t="shared" si="20"/>
        <v>357.26261607857543</v>
      </c>
      <c r="S42" s="27">
        <f t="shared" si="20"/>
        <v>363.75549005777725</v>
      </c>
    </row>
    <row r="43" spans="2:19" x14ac:dyDescent="0.2">
      <c r="B43" s="33"/>
      <c r="C43" s="15" t="s">
        <v>127</v>
      </c>
      <c r="D43" s="15" t="s">
        <v>131</v>
      </c>
      <c r="E43" s="19">
        <f>E42</f>
        <v>160000</v>
      </c>
      <c r="F43" s="34"/>
      <c r="H43" s="33" t="s">
        <v>102</v>
      </c>
      <c r="L43" s="18">
        <f t="shared" ref="L43:S44" si="21">L41*$D$61</f>
        <v>191.9393974358974</v>
      </c>
      <c r="M43" s="18">
        <f t="shared" si="21"/>
        <v>191.75902243589744</v>
      </c>
      <c r="N43" s="18">
        <f t="shared" si="21"/>
        <v>191.57323618589743</v>
      </c>
      <c r="O43" s="18">
        <f t="shared" si="21"/>
        <v>191.38187634839741</v>
      </c>
      <c r="P43" s="18">
        <f t="shared" si="21"/>
        <v>191.18477571577253</v>
      </c>
      <c r="Q43" s="18">
        <f t="shared" si="21"/>
        <v>232.63448087880744</v>
      </c>
      <c r="R43" s="18">
        <f t="shared" si="21"/>
        <v>232.42537681765555</v>
      </c>
      <c r="S43" s="27">
        <f t="shared" si="21"/>
        <v>232.20999963466912</v>
      </c>
    </row>
    <row r="44" spans="2:19" x14ac:dyDescent="0.2">
      <c r="B44" s="33"/>
      <c r="D44" s="15" t="s">
        <v>129</v>
      </c>
      <c r="E44" s="74">
        <v>7.0000000000000007E-2</v>
      </c>
      <c r="F44" s="34"/>
      <c r="H44" s="33" t="s">
        <v>101</v>
      </c>
      <c r="L44" s="18">
        <f t="shared" si="21"/>
        <v>78.011699946579199</v>
      </c>
      <c r="M44" s="18">
        <f t="shared" si="21"/>
        <v>79.891334613678666</v>
      </c>
      <c r="N44" s="18">
        <f t="shared" si="21"/>
        <v>81.849486003045442</v>
      </c>
      <c r="O44" s="18">
        <f t="shared" si="21"/>
        <v>83.889411132263803</v>
      </c>
      <c r="P44" s="18">
        <f t="shared" si="21"/>
        <v>86.014501458595149</v>
      </c>
      <c r="Q44" s="18">
        <f t="shared" si="21"/>
        <v>129.88100722320854</v>
      </c>
      <c r="R44" s="18">
        <f t="shared" si="21"/>
        <v>132.18716794907292</v>
      </c>
      <c r="S44" s="27">
        <f t="shared" si="21"/>
        <v>134.58953132137759</v>
      </c>
    </row>
    <row r="45" spans="2:19" x14ac:dyDescent="0.2">
      <c r="B45" s="33"/>
      <c r="D45" s="15" t="s">
        <v>132</v>
      </c>
      <c r="E45" s="20">
        <f>((E43*F38)/1000)*E44</f>
        <v>60.374993789544007</v>
      </c>
      <c r="F45" s="34"/>
      <c r="H45" s="33"/>
      <c r="S45" s="34"/>
    </row>
    <row r="46" spans="2:19" x14ac:dyDescent="0.2">
      <c r="B46" s="33"/>
      <c r="C46" s="15" t="s">
        <v>130</v>
      </c>
      <c r="D46" s="15" t="s">
        <v>131</v>
      </c>
      <c r="E46" s="19">
        <f>E42</f>
        <v>160000</v>
      </c>
      <c r="F46" s="34"/>
      <c r="H46" s="33" t="s">
        <v>104</v>
      </c>
      <c r="L46" s="18">
        <f t="shared" ref="L46:S46" si="22">L22-L43</f>
        <v>466.61060256410258</v>
      </c>
      <c r="M46" s="18">
        <f t="shared" si="22"/>
        <v>466.30347756410254</v>
      </c>
      <c r="N46" s="18">
        <f t="shared" si="22"/>
        <v>465.98713881410259</v>
      </c>
      <c r="O46" s="18">
        <f t="shared" si="22"/>
        <v>465.66130990160252</v>
      </c>
      <c r="P46" s="18">
        <f t="shared" si="22"/>
        <v>465.32570612172776</v>
      </c>
      <c r="Q46" s="18">
        <f t="shared" si="22"/>
        <v>535.90223112905755</v>
      </c>
      <c r="R46" s="18">
        <f t="shared" si="22"/>
        <v>535.54618907898805</v>
      </c>
      <c r="S46" s="27">
        <f t="shared" si="22"/>
        <v>535.17946576741656</v>
      </c>
    </row>
    <row r="47" spans="2:19" x14ac:dyDescent="0.2">
      <c r="B47" s="33"/>
      <c r="D47" s="15" t="s">
        <v>134</v>
      </c>
      <c r="E47" s="85">
        <v>2.8</v>
      </c>
      <c r="F47" s="34"/>
      <c r="H47" s="28" t="s">
        <v>103</v>
      </c>
      <c r="I47" s="31"/>
      <c r="J47" s="31"/>
      <c r="K47" s="31"/>
      <c r="L47" s="35">
        <f t="shared" ref="L47:S47" si="23">L30-L44</f>
        <v>135.9691769159848</v>
      </c>
      <c r="M47" s="35">
        <f t="shared" si="23"/>
        <v>133.60204224888537</v>
      </c>
      <c r="N47" s="35">
        <f t="shared" si="23"/>
        <v>131.14176585951861</v>
      </c>
      <c r="O47" s="35">
        <f t="shared" si="23"/>
        <v>128.58465198030021</v>
      </c>
      <c r="P47" s="35">
        <f t="shared" si="23"/>
        <v>125.92685724146916</v>
      </c>
      <c r="Q47" s="35">
        <f t="shared" si="23"/>
        <v>194.08658164722044</v>
      </c>
      <c r="R47" s="35">
        <f t="shared" si="23"/>
        <v>191.21527481013473</v>
      </c>
      <c r="S47" s="36">
        <f t="shared" si="23"/>
        <v>188.2308109432721</v>
      </c>
    </row>
    <row r="48" spans="2:19" x14ac:dyDescent="0.2">
      <c r="B48" s="28"/>
      <c r="C48" s="31"/>
      <c r="D48" s="31" t="s">
        <v>132</v>
      </c>
      <c r="E48" s="35">
        <f>(E47*E46)/1000</f>
        <v>448</v>
      </c>
      <c r="F48" s="32"/>
    </row>
    <row r="49" spans="2:19" x14ac:dyDescent="0.2">
      <c r="H49" s="44" t="s">
        <v>92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3"/>
    </row>
    <row r="50" spans="2:19" x14ac:dyDescent="0.2">
      <c r="H50" s="33"/>
      <c r="I50" s="15" t="s">
        <v>93</v>
      </c>
      <c r="K50" s="18">
        <f>-D26</f>
        <v>-9700</v>
      </c>
      <c r="S50" s="34"/>
    </row>
    <row r="51" spans="2:19" x14ac:dyDescent="0.2">
      <c r="B51" s="173" t="s">
        <v>46</v>
      </c>
      <c r="C51" s="174"/>
      <c r="D51" s="174"/>
      <c r="E51" s="174"/>
      <c r="F51" s="175"/>
      <c r="H51" s="33"/>
      <c r="I51" s="15" t="s">
        <v>36</v>
      </c>
      <c r="K51" s="18">
        <f>-D20</f>
        <v>-1939.9999999999995</v>
      </c>
      <c r="S51" s="34"/>
    </row>
    <row r="52" spans="2:19" x14ac:dyDescent="0.2">
      <c r="B52" s="33"/>
      <c r="C52" s="37" t="s">
        <v>47</v>
      </c>
      <c r="D52" s="88">
        <v>5</v>
      </c>
      <c r="F52" s="34"/>
      <c r="H52" s="33"/>
      <c r="I52" s="15" t="s">
        <v>97</v>
      </c>
      <c r="L52" s="18">
        <f t="shared" ref="L52:R52" si="24">M22/$D$55</f>
        <v>9400.8928571428569</v>
      </c>
      <c r="M52" s="18">
        <f t="shared" si="24"/>
        <v>9393.7196428571424</v>
      </c>
      <c r="N52" s="18">
        <f t="shared" si="24"/>
        <v>9386.3312321428566</v>
      </c>
      <c r="O52" s="18">
        <f t="shared" si="24"/>
        <v>9378.7211691071461</v>
      </c>
      <c r="P52" s="18">
        <f t="shared" si="24"/>
        <v>10979.09588582664</v>
      </c>
      <c r="Q52" s="18">
        <f t="shared" si="24"/>
        <v>10971.02236995205</v>
      </c>
      <c r="R52" s="18">
        <f t="shared" si="24"/>
        <v>10962.706648601223</v>
      </c>
      <c r="S52" s="34"/>
    </row>
    <row r="53" spans="2:19" x14ac:dyDescent="0.2">
      <c r="B53" s="33"/>
      <c r="C53" s="15" t="s">
        <v>6</v>
      </c>
      <c r="D53" s="18">
        <f>FV($E$31/12,D52*12,Amortization!D7,-Proforma!D19)</f>
        <v>7018.7270193606364</v>
      </c>
      <c r="F53" s="34"/>
      <c r="H53" s="33"/>
      <c r="I53" s="15" t="s">
        <v>94</v>
      </c>
      <c r="L53" s="18">
        <f t="shared" ref="L53:R53" si="25">L52*-$E$57</f>
        <v>-470.04464285714289</v>
      </c>
      <c r="M53" s="18">
        <f t="shared" si="25"/>
        <v>-469.68598214285714</v>
      </c>
      <c r="N53" s="18">
        <f t="shared" si="25"/>
        <v>-469.31656160714283</v>
      </c>
      <c r="O53" s="18">
        <f t="shared" si="25"/>
        <v>-468.93605845535734</v>
      </c>
      <c r="P53" s="18">
        <f t="shared" si="25"/>
        <v>-548.95479429133206</v>
      </c>
      <c r="Q53" s="18">
        <f t="shared" si="25"/>
        <v>-548.55111849760249</v>
      </c>
      <c r="R53" s="18">
        <f t="shared" si="25"/>
        <v>-548.13533243006111</v>
      </c>
      <c r="S53" s="34"/>
    </row>
    <row r="54" spans="2:19" x14ac:dyDescent="0.2">
      <c r="B54" s="33"/>
      <c r="C54" s="15" t="s">
        <v>48</v>
      </c>
      <c r="D54" s="18">
        <f>IF(D52=P3,Q22,IF(D52=Q3,R22,IF(D52=R3,S22,IF(D52=O3,P22,IF(D52=N3,O22,IF(D52=M3,N22,0))))))</f>
        <v>768.53671200786494</v>
      </c>
      <c r="F54" s="34"/>
      <c r="H54" s="33"/>
      <c r="I54" s="15" t="s">
        <v>86</v>
      </c>
      <c r="L54" s="18">
        <f>L53+L52</f>
        <v>8930.8482142857138</v>
      </c>
      <c r="M54" s="18">
        <f t="shared" ref="M54:R54" si="26">M53+M52</f>
        <v>8924.0336607142854</v>
      </c>
      <c r="N54" s="18">
        <f t="shared" si="26"/>
        <v>8917.0146705357147</v>
      </c>
      <c r="O54" s="18">
        <f t="shared" si="26"/>
        <v>8909.7851106517883</v>
      </c>
      <c r="P54" s="18">
        <f t="shared" si="26"/>
        <v>10430.141091535308</v>
      </c>
      <c r="Q54" s="18">
        <f t="shared" si="26"/>
        <v>10422.471251454448</v>
      </c>
      <c r="R54" s="18">
        <f t="shared" si="26"/>
        <v>10414.571316171161</v>
      </c>
      <c r="S54" s="34"/>
    </row>
    <row r="55" spans="2:19" x14ac:dyDescent="0.2">
      <c r="B55" s="33"/>
      <c r="C55" s="15" t="s">
        <v>49</v>
      </c>
      <c r="D55" s="74">
        <v>7.0000000000000007E-2</v>
      </c>
      <c r="F55" s="34"/>
      <c r="H55" s="33"/>
      <c r="I55" s="15" t="s">
        <v>95</v>
      </c>
      <c r="L55" s="18">
        <f t="shared" ref="L55:R55" si="27">$D$24-(L39*L3)+(L40*L3)</f>
        <v>9560.2051282051289</v>
      </c>
      <c r="M55" s="18">
        <f t="shared" si="27"/>
        <v>9420.4102564102559</v>
      </c>
      <c r="N55" s="18">
        <f t="shared" si="27"/>
        <v>9280.6153846153848</v>
      </c>
      <c r="O55" s="18">
        <f t="shared" si="27"/>
        <v>9140.8205128205136</v>
      </c>
      <c r="P55" s="18">
        <f t="shared" si="27"/>
        <v>9001.0256410256407</v>
      </c>
      <c r="Q55" s="18">
        <f t="shared" si="27"/>
        <v>8861.2307692307695</v>
      </c>
      <c r="R55" s="18">
        <f t="shared" si="27"/>
        <v>8721.4358974358984</v>
      </c>
      <c r="S55" s="34"/>
    </row>
    <row r="56" spans="2:19" x14ac:dyDescent="0.2">
      <c r="B56" s="33"/>
      <c r="C56" s="15" t="s">
        <v>54</v>
      </c>
      <c r="D56" s="18">
        <f>D54/D55</f>
        <v>10979.09588582664</v>
      </c>
      <c r="F56" s="34"/>
      <c r="H56" s="33"/>
      <c r="I56" s="15" t="s">
        <v>56</v>
      </c>
      <c r="L56" s="18">
        <f>L54-L55</f>
        <v>-629.35691391941509</v>
      </c>
      <c r="M56" s="18">
        <f t="shared" ref="M56:R56" si="28">M54-M55</f>
        <v>-496.37659569597054</v>
      </c>
      <c r="N56" s="18">
        <f t="shared" si="28"/>
        <v>-363.60071407967007</v>
      </c>
      <c r="O56" s="18">
        <f t="shared" si="28"/>
        <v>-231.03540216872534</v>
      </c>
      <c r="P56" s="18">
        <f t="shared" si="28"/>
        <v>1429.1154505096674</v>
      </c>
      <c r="Q56" s="18">
        <f t="shared" si="28"/>
        <v>1561.2404822236786</v>
      </c>
      <c r="R56" s="18">
        <f t="shared" si="28"/>
        <v>1693.1354187352626</v>
      </c>
      <c r="S56" s="34"/>
    </row>
    <row r="57" spans="2:19" x14ac:dyDescent="0.2">
      <c r="B57" s="33"/>
      <c r="C57" s="15" t="s">
        <v>84</v>
      </c>
      <c r="D57" s="20">
        <f>D56*-E57</f>
        <v>-548.95479429133206</v>
      </c>
      <c r="E57" s="74">
        <v>0.05</v>
      </c>
      <c r="F57" s="34"/>
      <c r="H57" s="33"/>
      <c r="I57" s="15" t="s">
        <v>6</v>
      </c>
      <c r="L57" s="18">
        <f>-Amortization!K3</f>
        <v>-7623.3435727796368</v>
      </c>
      <c r="M57" s="18">
        <f>-Amortization!L3</f>
        <v>-7481.1195518644099</v>
      </c>
      <c r="N57" s="18">
        <f>-Amortization!M3</f>
        <v>-7333.1011048968394</v>
      </c>
      <c r="O57" s="18">
        <f>-Amortization!N3</f>
        <v>-7179.052158019219</v>
      </c>
      <c r="P57" s="18">
        <f>-Amortization!O3</f>
        <v>-7018.7270193606364</v>
      </c>
      <c r="Q57" s="18">
        <f>-Amortization!P3</f>
        <v>-6851.8699871842728</v>
      </c>
      <c r="R57" s="18">
        <f>-Amortization!Q3</f>
        <v>-6678.214942070028</v>
      </c>
      <c r="S57" s="34"/>
    </row>
    <row r="58" spans="2:19" x14ac:dyDescent="0.2">
      <c r="B58" s="28"/>
      <c r="C58" s="31" t="s">
        <v>55</v>
      </c>
      <c r="D58" s="35">
        <f>D57+D56</f>
        <v>10430.141091535308</v>
      </c>
      <c r="E58" s="53"/>
      <c r="F58" s="32"/>
      <c r="H58" s="33"/>
      <c r="I58" s="15" t="s">
        <v>96</v>
      </c>
      <c r="L58" s="18">
        <f>L57+L54</f>
        <v>1307.504641506077</v>
      </c>
      <c r="M58" s="18">
        <f t="shared" ref="M58:R58" si="29">M57+M54</f>
        <v>1442.9141088498754</v>
      </c>
      <c r="N58" s="18">
        <f t="shared" si="29"/>
        <v>1583.9135656388753</v>
      </c>
      <c r="O58" s="18">
        <f t="shared" si="29"/>
        <v>1730.7329526325693</v>
      </c>
      <c r="P58" s="18">
        <f>P57+P54</f>
        <v>3411.4140721746717</v>
      </c>
      <c r="Q58" s="18">
        <f t="shared" si="29"/>
        <v>3570.6012642701753</v>
      </c>
      <c r="R58" s="18">
        <f t="shared" si="29"/>
        <v>3736.356374101133</v>
      </c>
      <c r="S58" s="34"/>
    </row>
    <row r="59" spans="2:19" x14ac:dyDescent="0.2">
      <c r="D59" s="20"/>
      <c r="E59" s="21"/>
      <c r="H59" s="33"/>
      <c r="I59" s="15" t="s">
        <v>57</v>
      </c>
      <c r="L59" s="18">
        <f t="shared" ref="L59:R59" si="30">L39*L3</f>
        <v>171.7948717948718</v>
      </c>
      <c r="M59" s="18">
        <f t="shared" si="30"/>
        <v>343.58974358974359</v>
      </c>
      <c r="N59" s="18">
        <f t="shared" si="30"/>
        <v>515.38461538461536</v>
      </c>
      <c r="O59" s="18">
        <f t="shared" si="30"/>
        <v>687.17948717948718</v>
      </c>
      <c r="P59" s="18">
        <f t="shared" si="30"/>
        <v>858.97435897435901</v>
      </c>
      <c r="Q59" s="18">
        <f t="shared" si="30"/>
        <v>1030.7692307692307</v>
      </c>
      <c r="R59" s="18">
        <f t="shared" si="30"/>
        <v>1202.5641025641025</v>
      </c>
      <c r="S59" s="34"/>
    </row>
    <row r="60" spans="2:19" x14ac:dyDescent="0.2">
      <c r="B60" s="54" t="s">
        <v>50</v>
      </c>
      <c r="C60" s="55"/>
      <c r="D60" s="47" t="s">
        <v>41</v>
      </c>
      <c r="E60" s="47" t="s">
        <v>32</v>
      </c>
      <c r="F60" s="56"/>
      <c r="H60" s="33"/>
      <c r="I60" s="15" t="s">
        <v>58</v>
      </c>
      <c r="L60" s="18">
        <f t="shared" ref="L60:R60" si="31">L59*-$D$62</f>
        <v>-42.948717948717949</v>
      </c>
      <c r="M60" s="18">
        <f t="shared" si="31"/>
        <v>-85.897435897435898</v>
      </c>
      <c r="N60" s="18">
        <f t="shared" si="31"/>
        <v>-128.84615384615384</v>
      </c>
      <c r="O60" s="18">
        <f t="shared" si="31"/>
        <v>-171.7948717948718</v>
      </c>
      <c r="P60" s="18">
        <f t="shared" si="31"/>
        <v>-214.74358974358975</v>
      </c>
      <c r="Q60" s="18">
        <f t="shared" si="31"/>
        <v>-257.69230769230768</v>
      </c>
      <c r="R60" s="18">
        <f t="shared" si="31"/>
        <v>-300.64102564102564</v>
      </c>
      <c r="S60" s="34"/>
    </row>
    <row r="61" spans="2:19" x14ac:dyDescent="0.2">
      <c r="B61" s="57" t="s">
        <v>51</v>
      </c>
      <c r="D61" s="89">
        <v>0.37</v>
      </c>
      <c r="E61" s="90"/>
      <c r="F61" s="34"/>
      <c r="H61" s="33"/>
      <c r="I61" s="15" t="s">
        <v>59</v>
      </c>
      <c r="L61" s="18">
        <f t="shared" ref="L61:O61" si="32">L56-L59</f>
        <v>-801.15178571428692</v>
      </c>
      <c r="M61" s="18">
        <f t="shared" si="32"/>
        <v>-839.96633928571418</v>
      </c>
      <c r="N61" s="18">
        <f t="shared" si="32"/>
        <v>-878.98532946428543</v>
      </c>
      <c r="O61" s="18">
        <f t="shared" si="32"/>
        <v>-918.21488934821252</v>
      </c>
      <c r="P61" s="18">
        <f>P56-P59</f>
        <v>570.14109153530842</v>
      </c>
      <c r="Q61" s="18">
        <f t="shared" ref="Q61:R61" si="33">Q56-Q59</f>
        <v>530.47125145444784</v>
      </c>
      <c r="R61" s="18">
        <f t="shared" si="33"/>
        <v>490.57131617116011</v>
      </c>
      <c r="S61" s="34"/>
    </row>
    <row r="62" spans="2:19" x14ac:dyDescent="0.2">
      <c r="B62" s="57" t="s">
        <v>52</v>
      </c>
      <c r="D62" s="89">
        <v>0.25</v>
      </c>
      <c r="E62" s="90">
        <v>39</v>
      </c>
      <c r="F62" s="34"/>
      <c r="H62" s="33"/>
      <c r="I62" s="15" t="s">
        <v>60</v>
      </c>
      <c r="L62" s="18">
        <f t="shared" ref="L62:R62" si="34">L61*-$D$63</f>
        <v>160.2303571428574</v>
      </c>
      <c r="M62" s="18">
        <f t="shared" si="34"/>
        <v>167.99326785714285</v>
      </c>
      <c r="N62" s="18">
        <f t="shared" si="34"/>
        <v>175.79706589285709</v>
      </c>
      <c r="O62" s="18">
        <f t="shared" si="34"/>
        <v>183.64297786964252</v>
      </c>
      <c r="P62" s="18">
        <f t="shared" si="34"/>
        <v>-114.02821830706169</v>
      </c>
      <c r="Q62" s="18">
        <f t="shared" si="34"/>
        <v>-106.09425029088958</v>
      </c>
      <c r="R62" s="18">
        <f t="shared" si="34"/>
        <v>-98.114263234232027</v>
      </c>
      <c r="S62" s="34"/>
    </row>
    <row r="63" spans="2:19" x14ac:dyDescent="0.2">
      <c r="B63" s="58" t="s">
        <v>53</v>
      </c>
      <c r="C63" s="31"/>
      <c r="D63" s="91">
        <v>0.2</v>
      </c>
      <c r="E63" s="92"/>
      <c r="F63" s="32"/>
      <c r="H63" s="33"/>
      <c r="I63" s="15" t="s">
        <v>61</v>
      </c>
      <c r="L63" s="18">
        <f t="shared" ref="L63:O63" si="35">L62+L60</f>
        <v>117.28163919413944</v>
      </c>
      <c r="M63" s="18">
        <f t="shared" si="35"/>
        <v>82.095831959706956</v>
      </c>
      <c r="N63" s="18">
        <f t="shared" si="35"/>
        <v>46.950912046703252</v>
      </c>
      <c r="O63" s="18">
        <f t="shared" si="35"/>
        <v>11.848106074770726</v>
      </c>
      <c r="P63" s="18">
        <f>P62+P60</f>
        <v>-328.77180805065143</v>
      </c>
      <c r="Q63" s="18">
        <f t="shared" ref="Q63:R63" si="36">Q62+Q60</f>
        <v>-363.78655798319727</v>
      </c>
      <c r="R63" s="18">
        <f t="shared" si="36"/>
        <v>-398.75528887525763</v>
      </c>
      <c r="S63" s="34"/>
    </row>
    <row r="64" spans="2:19" x14ac:dyDescent="0.2">
      <c r="H64" s="33"/>
      <c r="I64" s="15" t="s">
        <v>106</v>
      </c>
      <c r="L64" s="18">
        <f>L54-L63</f>
        <v>8813.5665750915741</v>
      </c>
      <c r="M64" s="18">
        <f t="shared" ref="M64:R64" si="37">M54-M63</f>
        <v>8841.9378287545787</v>
      </c>
      <c r="N64" s="18">
        <f t="shared" si="37"/>
        <v>8870.0637584890119</v>
      </c>
      <c r="O64" s="18">
        <f t="shared" si="37"/>
        <v>8897.9370045770174</v>
      </c>
      <c r="P64" s="18">
        <f t="shared" si="37"/>
        <v>10758.912899585959</v>
      </c>
      <c r="Q64" s="18">
        <f t="shared" si="37"/>
        <v>10786.257809437646</v>
      </c>
      <c r="R64" s="18">
        <f t="shared" si="37"/>
        <v>10813.326605046419</v>
      </c>
      <c r="S64" s="34"/>
    </row>
    <row r="65" spans="8:19" x14ac:dyDescent="0.2">
      <c r="H65" s="28"/>
      <c r="I65" s="31" t="s">
        <v>105</v>
      </c>
      <c r="J65" s="31"/>
      <c r="K65" s="31"/>
      <c r="L65" s="35">
        <f t="shared" ref="L65:R65" si="38">L63+L58</f>
        <v>1424.7862807002164</v>
      </c>
      <c r="M65" s="35">
        <f t="shared" si="38"/>
        <v>1525.0099408095823</v>
      </c>
      <c r="N65" s="35">
        <f t="shared" si="38"/>
        <v>1630.8644776855785</v>
      </c>
      <c r="O65" s="35">
        <f t="shared" si="38"/>
        <v>1742.5810587073402</v>
      </c>
      <c r="P65" s="35">
        <f t="shared" si="38"/>
        <v>3082.6422641240201</v>
      </c>
      <c r="Q65" s="35">
        <f t="shared" si="38"/>
        <v>3206.814706286978</v>
      </c>
      <c r="R65" s="35">
        <f t="shared" si="38"/>
        <v>3337.6010852258755</v>
      </c>
      <c r="S65" s="32"/>
    </row>
    <row r="67" spans="8:19" x14ac:dyDescent="0.2">
      <c r="H67" s="44" t="s">
        <v>107</v>
      </c>
      <c r="I67" s="42"/>
      <c r="J67" s="42"/>
      <c r="K67" s="42"/>
      <c r="L67" s="42"/>
      <c r="M67" s="42"/>
      <c r="N67" s="42"/>
      <c r="O67" s="42"/>
      <c r="P67" s="42"/>
      <c r="Q67" s="42"/>
      <c r="R67" s="43"/>
    </row>
    <row r="68" spans="8:19" x14ac:dyDescent="0.2">
      <c r="H68" s="22" t="s">
        <v>99</v>
      </c>
      <c r="I68" s="23"/>
      <c r="J68" s="23"/>
      <c r="K68" s="24">
        <f>K50</f>
        <v>-9700</v>
      </c>
      <c r="L68" s="24">
        <f t="shared" ref="L68:R68" si="39">IF($D$52=L$3,L64+L46,IF($D$52&lt;L$3,0,L46))</f>
        <v>466.61060256410258</v>
      </c>
      <c r="M68" s="24">
        <f t="shared" si="39"/>
        <v>466.30347756410254</v>
      </c>
      <c r="N68" s="24">
        <f t="shared" si="39"/>
        <v>465.98713881410259</v>
      </c>
      <c r="O68" s="24">
        <f t="shared" si="39"/>
        <v>465.66130990160252</v>
      </c>
      <c r="P68" s="24">
        <f t="shared" si="39"/>
        <v>11224.238605707687</v>
      </c>
      <c r="Q68" s="24">
        <f t="shared" si="39"/>
        <v>0</v>
      </c>
      <c r="R68" s="25">
        <f t="shared" si="39"/>
        <v>0</v>
      </c>
    </row>
    <row r="69" spans="8:19" x14ac:dyDescent="0.2">
      <c r="H69" s="33"/>
      <c r="I69" s="37" t="s">
        <v>83</v>
      </c>
      <c r="J69" s="38">
        <f>IF($D$52=$L$3,IRR(K68:L68),IF($D$52=$M$3,IRR(K68:M68),IF($D$52=$N$3,IRR(K68:N68),IF($D$52=$O$3,IRR(K68:O68),IF($D$52=$P$3,IRR(K68:P68),IF($D$52=$Q$3,IRR(K68:Q68),IF($D$52=$R$3,IRR(K68:R68),IF($D$52=$S$3,IRR(K67:S67),0))))))))</f>
        <v>6.7135064321759863E-2</v>
      </c>
      <c r="R69" s="34"/>
    </row>
    <row r="70" spans="8:19" x14ac:dyDescent="0.2">
      <c r="H70" s="33"/>
      <c r="R70" s="34"/>
    </row>
    <row r="71" spans="8:19" x14ac:dyDescent="0.2">
      <c r="H71" s="33" t="s">
        <v>98</v>
      </c>
      <c r="K71" s="18">
        <f>K51</f>
        <v>-1939.9999999999995</v>
      </c>
      <c r="L71" s="18">
        <f t="shared" ref="L71:R71" si="40">IF($D$52=L$3,L65+L47,IF($D$52&lt;L$3,0,L47))</f>
        <v>135.9691769159848</v>
      </c>
      <c r="M71" s="18">
        <f t="shared" si="40"/>
        <v>133.60204224888537</v>
      </c>
      <c r="N71" s="18">
        <f t="shared" si="40"/>
        <v>131.14176585951861</v>
      </c>
      <c r="O71" s="18">
        <f t="shared" si="40"/>
        <v>128.58465198030021</v>
      </c>
      <c r="P71" s="18">
        <f t="shared" si="40"/>
        <v>3208.5691213654891</v>
      </c>
      <c r="Q71" s="18">
        <f t="shared" si="40"/>
        <v>0</v>
      </c>
      <c r="R71" s="27">
        <f t="shared" si="40"/>
        <v>0</v>
      </c>
    </row>
    <row r="72" spans="8:19" x14ac:dyDescent="0.2">
      <c r="H72" s="28"/>
      <c r="I72" s="29" t="s">
        <v>83</v>
      </c>
      <c r="J72" s="39">
        <f>IF($D$52=$L$3,IRR(K71:L71),IF($D$52=$M$3,IRR(K71:M71),IF($D$52=$N$3,IRR(K71:N71),IF($D$52=$O$3,IRR(K71:O71),IF($D$52=$P$3,IRR(K71:P71),IF($D$52=$Q$3,IRR(K71:Q71),IF($D$52=$R$3,IRR(K71:R71),IF($D$52=$S$3,IRR(K70:S70),0))))))))</f>
        <v>0.15449869917643078</v>
      </c>
      <c r="K72" s="31"/>
      <c r="L72" s="31"/>
      <c r="M72" s="31"/>
      <c r="N72" s="31"/>
      <c r="O72" s="31"/>
      <c r="P72" s="31"/>
      <c r="Q72" s="31"/>
      <c r="R72" s="32"/>
    </row>
    <row r="76" spans="8:19" x14ac:dyDescent="0.2">
      <c r="J76" s="20"/>
    </row>
  </sheetData>
  <mergeCells count="5">
    <mergeCell ref="B28:F28"/>
    <mergeCell ref="B36:F36"/>
    <mergeCell ref="B51:F51"/>
    <mergeCell ref="B5:E5"/>
    <mergeCell ref="B6:E6"/>
  </mergeCells>
  <phoneticPr fontId="2" type="noConversion"/>
  <conditionalFormatting sqref="L1:L72">
    <cfRule type="expression" dxfId="6" priority="40">
      <formula>D$52=$L$3</formula>
    </cfRule>
  </conditionalFormatting>
  <conditionalFormatting sqref="M1:M72">
    <cfRule type="expression" dxfId="5" priority="42">
      <formula>D$52=$M$3</formula>
    </cfRule>
  </conditionalFormatting>
  <conditionalFormatting sqref="N1:N72">
    <cfRule type="expression" dxfId="4" priority="44">
      <formula>$D$52=$N$3</formula>
    </cfRule>
  </conditionalFormatting>
  <conditionalFormatting sqref="O1:O72">
    <cfRule type="expression" dxfId="3" priority="46">
      <formula>$D$52=$O$3</formula>
    </cfRule>
  </conditionalFormatting>
  <conditionalFormatting sqref="P1:P72">
    <cfRule type="expression" dxfId="2" priority="48">
      <formula>$D$52=$P$3</formula>
    </cfRule>
  </conditionalFormatting>
  <conditionalFormatting sqref="Q1:Q72">
    <cfRule type="expression" dxfId="1" priority="50">
      <formula>$D$52=$Q$3</formula>
    </cfRule>
  </conditionalFormatting>
  <conditionalFormatting sqref="R1:R72">
    <cfRule type="expression" dxfId="0" priority="52">
      <formula>$D$52=$R$3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99EC-561D-4D96-93FB-A3B7EB0B8A44}">
  <dimension ref="A1:R369"/>
  <sheetViews>
    <sheetView workbookViewId="0">
      <selection activeCell="O3" sqref="O3"/>
    </sheetView>
  </sheetViews>
  <sheetFormatPr defaultRowHeight="15" x14ac:dyDescent="0.25"/>
  <cols>
    <col min="3" max="3" width="13.5703125" bestFit="1" customWidth="1"/>
    <col min="4" max="6" width="11.5703125" bestFit="1" customWidth="1"/>
    <col min="7" max="7" width="13.5703125" bestFit="1" customWidth="1"/>
    <col min="10" max="10" width="16.42578125" bestFit="1" customWidth="1"/>
    <col min="11" max="11" width="14.42578125" bestFit="1" customWidth="1"/>
    <col min="12" max="17" width="12.42578125" bestFit="1" customWidth="1"/>
    <col min="18" max="18" width="12.7109375" bestFit="1" customWidth="1"/>
  </cols>
  <sheetData>
    <row r="1" spans="1:18" x14ac:dyDescent="0.25">
      <c r="K1">
        <v>1</v>
      </c>
      <c r="L1">
        <v>2</v>
      </c>
      <c r="M1">
        <v>3</v>
      </c>
      <c r="N1">
        <v>4</v>
      </c>
      <c r="O1">
        <v>5</v>
      </c>
      <c r="P1">
        <v>6</v>
      </c>
      <c r="Q1">
        <v>7</v>
      </c>
      <c r="R1">
        <v>8</v>
      </c>
    </row>
    <row r="2" spans="1:18" x14ac:dyDescent="0.25">
      <c r="J2" t="s">
        <v>4</v>
      </c>
      <c r="K2" s="1">
        <f>-SUM(E10:E21)</f>
        <v>307.91269591707623</v>
      </c>
      <c r="L2" s="1">
        <f>-SUM(E22:E33)</f>
        <v>302.34510222221292</v>
      </c>
      <c r="M2" s="1">
        <f>-SUM(E34:E45)</f>
        <v>296.55067616987026</v>
      </c>
      <c r="N2" s="1">
        <f>-SUM(E46:E57)</f>
        <v>290.52017625982057</v>
      </c>
      <c r="O2" s="1">
        <f>-SUM(E58:E69)</f>
        <v>284.24398447885784</v>
      </c>
      <c r="P2" s="1">
        <f>-SUM(E70:E81)</f>
        <v>277.71209096107816</v>
      </c>
      <c r="Q2" s="1">
        <f>-SUM(E82:E93)</f>
        <v>270.9140780231964</v>
      </c>
      <c r="R2" s="2">
        <f>-SUM(E94:E105)</f>
        <v>263.83910354943657</v>
      </c>
    </row>
    <row r="3" spans="1:18" x14ac:dyDescent="0.25">
      <c r="C3" t="s">
        <v>5</v>
      </c>
      <c r="D3" s="1">
        <f>Proforma!F29</f>
        <v>7760</v>
      </c>
      <c r="J3" t="s">
        <v>6</v>
      </c>
      <c r="K3" s="1">
        <f>-(FV($D$4/12,K1*12,-$D$7,$D$3))</f>
        <v>7623.3435727796368</v>
      </c>
      <c r="L3" s="1">
        <f t="shared" ref="L3:R3" si="0">-(FV($D$4/12,L1*12,-$D$7,$D$3))</f>
        <v>7481.1195518644099</v>
      </c>
      <c r="M3" s="1">
        <f t="shared" si="0"/>
        <v>7333.1011048968394</v>
      </c>
      <c r="N3" s="1">
        <f t="shared" si="0"/>
        <v>7179.052158019219</v>
      </c>
      <c r="O3" s="1">
        <f t="shared" si="0"/>
        <v>7018.7270193606364</v>
      </c>
      <c r="P3" s="1">
        <f t="shared" si="0"/>
        <v>6851.8699871842728</v>
      </c>
      <c r="Q3" s="1">
        <f t="shared" si="0"/>
        <v>6678.214942070028</v>
      </c>
      <c r="R3" s="1">
        <f t="shared" si="0"/>
        <v>6497.4849224820227</v>
      </c>
    </row>
    <row r="4" spans="1:18" x14ac:dyDescent="0.25">
      <c r="C4" t="s">
        <v>7</v>
      </c>
      <c r="D4" s="8">
        <f>Proforma!E31</f>
        <v>0.04</v>
      </c>
    </row>
    <row r="5" spans="1:18" x14ac:dyDescent="0.25">
      <c r="C5" t="s">
        <v>8</v>
      </c>
      <c r="D5">
        <f>Proforma!E32</f>
        <v>30</v>
      </c>
    </row>
    <row r="6" spans="1:18" x14ac:dyDescent="0.25">
      <c r="C6" t="s">
        <v>9</v>
      </c>
      <c r="D6" s="9">
        <f>Proforma!E33</f>
        <v>7</v>
      </c>
      <c r="E6">
        <f>D6*12</f>
        <v>84</v>
      </c>
    </row>
    <row r="7" spans="1:18" x14ac:dyDescent="0.25">
      <c r="C7" t="s">
        <v>10</v>
      </c>
      <c r="D7" s="2">
        <f>-D10</f>
        <v>37.047426928119663</v>
      </c>
    </row>
    <row r="9" spans="1:18" x14ac:dyDescent="0.25">
      <c r="A9" s="3" t="s">
        <v>11</v>
      </c>
      <c r="B9" s="3" t="s">
        <v>12</v>
      </c>
      <c r="C9" s="3" t="s">
        <v>13</v>
      </c>
      <c r="D9" s="3" t="s">
        <v>14</v>
      </c>
      <c r="E9" s="3" t="s">
        <v>15</v>
      </c>
      <c r="F9" s="3" t="s">
        <v>16</v>
      </c>
      <c r="G9" s="3" t="s">
        <v>17</v>
      </c>
    </row>
    <row r="10" spans="1:18" x14ac:dyDescent="0.25">
      <c r="A10" s="4">
        <v>1</v>
      </c>
      <c r="B10" s="4">
        <v>1</v>
      </c>
      <c r="C10" s="5">
        <f>D3</f>
        <v>7760</v>
      </c>
      <c r="D10" s="6">
        <f>PMT($D$4/12,$D$5*12,$D$3)</f>
        <v>-37.047426928119663</v>
      </c>
      <c r="E10" s="6">
        <f>IPMT($D$4/12,B10,$D$5*12,$D$3)</f>
        <v>-25.866666666666671</v>
      </c>
      <c r="F10" s="6">
        <f>PPMT($D$4/12,B10,$D$5*12,$D$3)</f>
        <v>-11.18076026145299</v>
      </c>
      <c r="G10" s="6">
        <f>F10+C10</f>
        <v>7748.8192397385474</v>
      </c>
    </row>
    <row r="11" spans="1:18" x14ac:dyDescent="0.25">
      <c r="A11" s="4">
        <v>1</v>
      </c>
      <c r="B11" s="4">
        <v>2</v>
      </c>
      <c r="C11" s="6">
        <f>G10</f>
        <v>7748.8192397385474</v>
      </c>
      <c r="D11" s="6">
        <f t="shared" ref="D11:D74" si="1">PMT($D$4/12,$D$5*12,$D$3)</f>
        <v>-37.047426928119663</v>
      </c>
      <c r="E11" s="6">
        <f t="shared" ref="E11:E74" si="2">IPMT($D$4/12,B11,$D$5*12,$D$3)</f>
        <v>-25.829397465795157</v>
      </c>
      <c r="F11" s="6">
        <f t="shared" ref="F11:F74" si="3">PPMT($D$4/12,B11,$D$5*12,$D$3)</f>
        <v>-11.2180294623245</v>
      </c>
      <c r="G11" s="6">
        <f t="shared" ref="G11:G74" si="4">F11+C11</f>
        <v>7737.6012102762224</v>
      </c>
    </row>
    <row r="12" spans="1:18" x14ac:dyDescent="0.25">
      <c r="A12" s="4">
        <v>1</v>
      </c>
      <c r="B12" s="4">
        <v>3</v>
      </c>
      <c r="C12" s="6">
        <f t="shared" ref="C12:C75" si="5">G11</f>
        <v>7737.6012102762224</v>
      </c>
      <c r="D12" s="6">
        <f t="shared" si="1"/>
        <v>-37.047426928119663</v>
      </c>
      <c r="E12" s="6">
        <f t="shared" si="2"/>
        <v>-25.792004034254077</v>
      </c>
      <c r="F12" s="6">
        <f t="shared" si="3"/>
        <v>-11.255422893865582</v>
      </c>
      <c r="G12" s="6">
        <f t="shared" si="4"/>
        <v>7726.3457873823572</v>
      </c>
    </row>
    <row r="13" spans="1:18" x14ac:dyDescent="0.25">
      <c r="A13" s="4">
        <v>1</v>
      </c>
      <c r="B13" s="4">
        <v>4</v>
      </c>
      <c r="C13" s="6">
        <f t="shared" si="5"/>
        <v>7726.3457873823572</v>
      </c>
      <c r="D13" s="6">
        <f t="shared" si="1"/>
        <v>-37.047426928119663</v>
      </c>
      <c r="E13" s="6">
        <f t="shared" si="2"/>
        <v>-25.754485957941192</v>
      </c>
      <c r="F13" s="6">
        <f t="shared" si="3"/>
        <v>-11.292940970178467</v>
      </c>
      <c r="G13" s="6">
        <f t="shared" si="4"/>
        <v>7715.052846412179</v>
      </c>
    </row>
    <row r="14" spans="1:18" x14ac:dyDescent="0.25">
      <c r="A14" s="4">
        <v>1</v>
      </c>
      <c r="B14" s="4">
        <v>5</v>
      </c>
      <c r="C14" s="6">
        <f t="shared" si="5"/>
        <v>7715.052846412179</v>
      </c>
      <c r="D14" s="6">
        <f t="shared" si="1"/>
        <v>-37.047426928119663</v>
      </c>
      <c r="E14" s="6">
        <f t="shared" si="2"/>
        <v>-25.71684282137393</v>
      </c>
      <c r="F14" s="6">
        <f t="shared" si="3"/>
        <v>-11.33058410674573</v>
      </c>
      <c r="G14" s="6">
        <f t="shared" si="4"/>
        <v>7703.7222623054331</v>
      </c>
    </row>
    <row r="15" spans="1:18" x14ac:dyDescent="0.25">
      <c r="A15" s="4">
        <v>1</v>
      </c>
      <c r="B15" s="4">
        <v>6</v>
      </c>
      <c r="C15" s="6">
        <f t="shared" si="5"/>
        <v>7703.7222623054331</v>
      </c>
      <c r="D15" s="6">
        <f t="shared" si="1"/>
        <v>-37.047426928119663</v>
      </c>
      <c r="E15" s="6">
        <f t="shared" si="2"/>
        <v>-25.679074207684778</v>
      </c>
      <c r="F15" s="6">
        <f t="shared" si="3"/>
        <v>-11.36835272043488</v>
      </c>
      <c r="G15" s="6">
        <f t="shared" si="4"/>
        <v>7692.3539095849983</v>
      </c>
    </row>
    <row r="16" spans="1:18" x14ac:dyDescent="0.25">
      <c r="A16" s="4">
        <v>1</v>
      </c>
      <c r="B16" s="4">
        <v>7</v>
      </c>
      <c r="C16" s="6">
        <f t="shared" si="5"/>
        <v>7692.3539095849983</v>
      </c>
      <c r="D16" s="6">
        <f t="shared" si="1"/>
        <v>-37.047426928119663</v>
      </c>
      <c r="E16" s="6">
        <f t="shared" si="2"/>
        <v>-25.641179698616664</v>
      </c>
      <c r="F16" s="6">
        <f t="shared" si="3"/>
        <v>-11.406247229502997</v>
      </c>
      <c r="G16" s="6">
        <f t="shared" si="4"/>
        <v>7680.9476623554956</v>
      </c>
    </row>
    <row r="17" spans="1:7" x14ac:dyDescent="0.25">
      <c r="A17" s="4">
        <v>1</v>
      </c>
      <c r="B17" s="4">
        <v>8</v>
      </c>
      <c r="C17" s="6">
        <f t="shared" si="5"/>
        <v>7680.9476623554956</v>
      </c>
      <c r="D17" s="6">
        <f t="shared" si="1"/>
        <v>-37.047426928119663</v>
      </c>
      <c r="E17" s="6">
        <f t="shared" si="2"/>
        <v>-25.603158874518318</v>
      </c>
      <c r="F17" s="6">
        <f t="shared" si="3"/>
        <v>-11.444268053601339</v>
      </c>
      <c r="G17" s="6">
        <f t="shared" si="4"/>
        <v>7669.5033943018943</v>
      </c>
    </row>
    <row r="18" spans="1:7" x14ac:dyDescent="0.25">
      <c r="A18" s="4">
        <v>1</v>
      </c>
      <c r="B18" s="4">
        <v>9</v>
      </c>
      <c r="C18" s="6">
        <f t="shared" si="5"/>
        <v>7669.5033943018943</v>
      </c>
      <c r="D18" s="6">
        <f t="shared" si="1"/>
        <v>-37.047426928119663</v>
      </c>
      <c r="E18" s="6">
        <f t="shared" si="2"/>
        <v>-25.56501131433965</v>
      </c>
      <c r="F18" s="6">
        <f t="shared" si="3"/>
        <v>-11.482415613780011</v>
      </c>
      <c r="G18" s="6">
        <f t="shared" si="4"/>
        <v>7658.0209786881142</v>
      </c>
    </row>
    <row r="19" spans="1:7" x14ac:dyDescent="0.25">
      <c r="A19" s="4">
        <v>1</v>
      </c>
      <c r="B19" s="4">
        <v>10</v>
      </c>
      <c r="C19" s="6">
        <f t="shared" si="5"/>
        <v>7658.0209786881142</v>
      </c>
      <c r="D19" s="6">
        <f t="shared" si="1"/>
        <v>-37.047426928119663</v>
      </c>
      <c r="E19" s="6">
        <f t="shared" si="2"/>
        <v>-25.52673659562705</v>
      </c>
      <c r="F19" s="6">
        <f t="shared" si="3"/>
        <v>-11.520690332492611</v>
      </c>
      <c r="G19" s="6">
        <f t="shared" si="4"/>
        <v>7646.5002883556217</v>
      </c>
    </row>
    <row r="20" spans="1:7" x14ac:dyDescent="0.25">
      <c r="A20" s="4">
        <v>1</v>
      </c>
      <c r="B20" s="4">
        <v>11</v>
      </c>
      <c r="C20" s="6">
        <f t="shared" si="5"/>
        <v>7646.5002883556217</v>
      </c>
      <c r="D20" s="6">
        <f t="shared" si="1"/>
        <v>-37.047426928119663</v>
      </c>
      <c r="E20" s="6">
        <f t="shared" si="2"/>
        <v>-25.488334294518737</v>
      </c>
      <c r="F20" s="6">
        <f t="shared" si="3"/>
        <v>-11.559092633600923</v>
      </c>
      <c r="G20" s="6">
        <f t="shared" si="4"/>
        <v>7634.9411957220209</v>
      </c>
    </row>
    <row r="21" spans="1:7" x14ac:dyDescent="0.25">
      <c r="A21" s="4">
        <v>1</v>
      </c>
      <c r="B21" s="4">
        <v>12</v>
      </c>
      <c r="C21" s="6">
        <f t="shared" si="5"/>
        <v>7634.9411957220209</v>
      </c>
      <c r="D21" s="6">
        <f t="shared" si="1"/>
        <v>-37.047426928119663</v>
      </c>
      <c r="E21" s="6">
        <f t="shared" si="2"/>
        <v>-25.449803985740068</v>
      </c>
      <c r="F21" s="6">
        <f t="shared" si="3"/>
        <v>-11.597622942379591</v>
      </c>
      <c r="G21" s="6">
        <f t="shared" si="4"/>
        <v>7623.3435727796414</v>
      </c>
    </row>
    <row r="22" spans="1:7" x14ac:dyDescent="0.25">
      <c r="A22">
        <v>2</v>
      </c>
      <c r="B22">
        <v>13</v>
      </c>
      <c r="C22" s="2">
        <f t="shared" si="5"/>
        <v>7623.3435727796414</v>
      </c>
      <c r="D22" s="2">
        <f t="shared" si="1"/>
        <v>-37.047426928119663</v>
      </c>
      <c r="E22" s="2">
        <f t="shared" si="2"/>
        <v>-25.411145242598806</v>
      </c>
      <c r="F22" s="2">
        <f t="shared" si="3"/>
        <v>-11.636281685520856</v>
      </c>
      <c r="G22" s="2">
        <f t="shared" si="4"/>
        <v>7611.7072910941206</v>
      </c>
    </row>
    <row r="23" spans="1:7" x14ac:dyDescent="0.25">
      <c r="A23">
        <v>2</v>
      </c>
      <c r="B23">
        <v>14</v>
      </c>
      <c r="C23" s="2">
        <f t="shared" si="5"/>
        <v>7611.7072910941206</v>
      </c>
      <c r="D23" s="2">
        <f t="shared" si="1"/>
        <v>-37.047426928119663</v>
      </c>
      <c r="E23" s="2">
        <f t="shared" si="2"/>
        <v>-25.3723576369804</v>
      </c>
      <c r="F23" s="2">
        <f t="shared" si="3"/>
        <v>-11.675069291139257</v>
      </c>
      <c r="G23" s="2">
        <f t="shared" si="4"/>
        <v>7600.0322218029814</v>
      </c>
    </row>
    <row r="24" spans="1:7" x14ac:dyDescent="0.25">
      <c r="A24">
        <v>2</v>
      </c>
      <c r="B24">
        <v>15</v>
      </c>
      <c r="C24" s="2">
        <f t="shared" si="5"/>
        <v>7600.0322218029814</v>
      </c>
      <c r="D24" s="2">
        <f t="shared" si="1"/>
        <v>-37.047426928119663</v>
      </c>
      <c r="E24" s="2">
        <f t="shared" si="2"/>
        <v>-25.333440739343274</v>
      </c>
      <c r="F24" s="2">
        <f t="shared" si="3"/>
        <v>-11.713986188776389</v>
      </c>
      <c r="G24" s="2">
        <f t="shared" si="4"/>
        <v>7588.3182356142052</v>
      </c>
    </row>
    <row r="25" spans="1:7" x14ac:dyDescent="0.25">
      <c r="A25">
        <v>2</v>
      </c>
      <c r="B25">
        <v>16</v>
      </c>
      <c r="C25" s="2">
        <f t="shared" si="5"/>
        <v>7588.3182356142052</v>
      </c>
      <c r="D25" s="2">
        <f t="shared" si="1"/>
        <v>-37.047426928119663</v>
      </c>
      <c r="E25" s="2">
        <f t="shared" si="2"/>
        <v>-25.294394118714017</v>
      </c>
      <c r="F25" s="2">
        <f t="shared" si="3"/>
        <v>-11.753032809405642</v>
      </c>
      <c r="G25" s="2">
        <f t="shared" si="4"/>
        <v>7576.5652028047998</v>
      </c>
    </row>
    <row r="26" spans="1:7" x14ac:dyDescent="0.25">
      <c r="A26">
        <v>2</v>
      </c>
      <c r="B26">
        <v>17</v>
      </c>
      <c r="C26" s="2">
        <f t="shared" si="5"/>
        <v>7576.5652028047998</v>
      </c>
      <c r="D26" s="2">
        <f t="shared" si="1"/>
        <v>-37.047426928119663</v>
      </c>
      <c r="E26" s="2">
        <f t="shared" si="2"/>
        <v>-25.255217342682666</v>
      </c>
      <c r="F26" s="2">
        <f t="shared" si="3"/>
        <v>-11.792209585436995</v>
      </c>
      <c r="G26" s="2">
        <f t="shared" si="4"/>
        <v>7564.7729932193624</v>
      </c>
    </row>
    <row r="27" spans="1:7" x14ac:dyDescent="0.25">
      <c r="A27">
        <v>2</v>
      </c>
      <c r="B27">
        <v>18</v>
      </c>
      <c r="C27" s="2">
        <f t="shared" si="5"/>
        <v>7564.7729932193624</v>
      </c>
      <c r="D27" s="2">
        <f t="shared" si="1"/>
        <v>-37.047426928119663</v>
      </c>
      <c r="E27" s="2">
        <f t="shared" si="2"/>
        <v>-25.215909977397875</v>
      </c>
      <c r="F27" s="2">
        <f t="shared" si="3"/>
        <v>-11.831516950721786</v>
      </c>
      <c r="G27" s="2">
        <f t="shared" si="4"/>
        <v>7552.9414762686411</v>
      </c>
    </row>
    <row r="28" spans="1:7" x14ac:dyDescent="0.25">
      <c r="A28">
        <v>2</v>
      </c>
      <c r="B28">
        <v>19</v>
      </c>
      <c r="C28" s="2">
        <f t="shared" si="5"/>
        <v>7552.9414762686411</v>
      </c>
      <c r="D28" s="2">
        <f t="shared" si="1"/>
        <v>-37.047426928119663</v>
      </c>
      <c r="E28" s="2">
        <f t="shared" si="2"/>
        <v>-25.176471587562133</v>
      </c>
      <c r="F28" s="2">
        <f t="shared" si="3"/>
        <v>-11.870955340557527</v>
      </c>
      <c r="G28" s="2">
        <f t="shared" si="4"/>
        <v>7541.0705209280832</v>
      </c>
    </row>
    <row r="29" spans="1:7" x14ac:dyDescent="0.25">
      <c r="A29">
        <v>2</v>
      </c>
      <c r="B29">
        <v>20</v>
      </c>
      <c r="C29" s="2">
        <f t="shared" si="5"/>
        <v>7541.0705209280832</v>
      </c>
      <c r="D29" s="2">
        <f t="shared" si="1"/>
        <v>-37.047426928119663</v>
      </c>
      <c r="E29" s="2">
        <f t="shared" si="2"/>
        <v>-25.136901736426942</v>
      </c>
      <c r="F29" s="2">
        <f t="shared" si="3"/>
        <v>-11.910525191692717</v>
      </c>
      <c r="G29" s="2">
        <f t="shared" si="4"/>
        <v>7529.1599957363906</v>
      </c>
    </row>
    <row r="30" spans="1:7" x14ac:dyDescent="0.25">
      <c r="A30">
        <v>2</v>
      </c>
      <c r="B30">
        <v>21</v>
      </c>
      <c r="C30" s="2">
        <f t="shared" si="5"/>
        <v>7529.1599957363906</v>
      </c>
      <c r="D30" s="2">
        <f t="shared" si="1"/>
        <v>-37.047426928119663</v>
      </c>
      <c r="E30" s="2">
        <f t="shared" si="2"/>
        <v>-25.097199985787967</v>
      </c>
      <c r="F30" s="2">
        <f t="shared" si="3"/>
        <v>-11.950226942331691</v>
      </c>
      <c r="G30" s="2">
        <f t="shared" si="4"/>
        <v>7517.2097687940586</v>
      </c>
    </row>
    <row r="31" spans="1:7" x14ac:dyDescent="0.25">
      <c r="A31">
        <v>2</v>
      </c>
      <c r="B31">
        <v>22</v>
      </c>
      <c r="C31" s="2">
        <f t="shared" si="5"/>
        <v>7517.2097687940586</v>
      </c>
      <c r="D31" s="2">
        <f t="shared" si="1"/>
        <v>-37.047426928119663</v>
      </c>
      <c r="E31" s="2">
        <f t="shared" si="2"/>
        <v>-25.057365895980197</v>
      </c>
      <c r="F31" s="2">
        <f t="shared" si="3"/>
        <v>-11.990061032139463</v>
      </c>
      <c r="G31" s="2">
        <f t="shared" si="4"/>
        <v>7505.2197077619194</v>
      </c>
    </row>
    <row r="32" spans="1:7" x14ac:dyDescent="0.25">
      <c r="A32">
        <v>2</v>
      </c>
      <c r="B32">
        <v>23</v>
      </c>
      <c r="C32" s="2">
        <f t="shared" si="5"/>
        <v>7505.2197077619194</v>
      </c>
      <c r="D32" s="2">
        <f t="shared" si="1"/>
        <v>-37.047426928119663</v>
      </c>
      <c r="E32" s="2">
        <f t="shared" si="2"/>
        <v>-25.017399025873065</v>
      </c>
      <c r="F32" s="2">
        <f t="shared" si="3"/>
        <v>-12.030027902246594</v>
      </c>
      <c r="G32" s="2">
        <f t="shared" si="4"/>
        <v>7493.1896798596727</v>
      </c>
    </row>
    <row r="33" spans="1:7" x14ac:dyDescent="0.25">
      <c r="A33">
        <v>2</v>
      </c>
      <c r="B33">
        <v>24</v>
      </c>
      <c r="C33" s="2">
        <f t="shared" si="5"/>
        <v>7493.1896798596727</v>
      </c>
      <c r="D33" s="2">
        <f t="shared" si="1"/>
        <v>-37.047426928119663</v>
      </c>
      <c r="E33" s="2">
        <f t="shared" si="2"/>
        <v>-24.977298932865576</v>
      </c>
      <c r="F33" s="2">
        <f t="shared" si="3"/>
        <v>-12.070127995254085</v>
      </c>
      <c r="G33" s="2">
        <f t="shared" si="4"/>
        <v>7481.119551864419</v>
      </c>
    </row>
    <row r="34" spans="1:7" x14ac:dyDescent="0.25">
      <c r="A34" s="4">
        <v>3</v>
      </c>
      <c r="B34" s="4">
        <v>25</v>
      </c>
      <c r="C34" s="6">
        <f t="shared" si="5"/>
        <v>7481.119551864419</v>
      </c>
      <c r="D34" s="6">
        <f t="shared" si="1"/>
        <v>-37.047426928119663</v>
      </c>
      <c r="E34" s="6">
        <f t="shared" si="2"/>
        <v>-24.937065172881397</v>
      </c>
      <c r="F34" s="6">
        <f t="shared" si="3"/>
        <v>-12.110361755238266</v>
      </c>
      <c r="G34" s="6">
        <f t="shared" si="4"/>
        <v>7469.009190109181</v>
      </c>
    </row>
    <row r="35" spans="1:7" x14ac:dyDescent="0.25">
      <c r="A35" s="4">
        <v>3</v>
      </c>
      <c r="B35" s="4">
        <v>26</v>
      </c>
      <c r="C35" s="6">
        <f t="shared" si="5"/>
        <v>7469.009190109181</v>
      </c>
      <c r="D35" s="6">
        <f t="shared" si="1"/>
        <v>-37.047426928119663</v>
      </c>
      <c r="E35" s="6">
        <f t="shared" si="2"/>
        <v>-24.896697300363936</v>
      </c>
      <c r="F35" s="6">
        <f t="shared" si="3"/>
        <v>-12.150729627755727</v>
      </c>
      <c r="G35" s="6">
        <f t="shared" si="4"/>
        <v>7456.858460481425</v>
      </c>
    </row>
    <row r="36" spans="1:7" x14ac:dyDescent="0.25">
      <c r="A36" s="4">
        <v>3</v>
      </c>
      <c r="B36" s="4">
        <v>27</v>
      </c>
      <c r="C36" s="6">
        <f t="shared" si="5"/>
        <v>7456.858460481425</v>
      </c>
      <c r="D36" s="6">
        <f t="shared" si="1"/>
        <v>-37.047426928119663</v>
      </c>
      <c r="E36" s="6">
        <f t="shared" si="2"/>
        <v>-24.856194868271416</v>
      </c>
      <c r="F36" s="6">
        <f t="shared" si="3"/>
        <v>-12.191232059848247</v>
      </c>
      <c r="G36" s="6">
        <f t="shared" si="4"/>
        <v>7444.6672284215765</v>
      </c>
    </row>
    <row r="37" spans="1:7" x14ac:dyDescent="0.25">
      <c r="A37" s="4">
        <v>3</v>
      </c>
      <c r="B37" s="4">
        <v>28</v>
      </c>
      <c r="C37" s="6">
        <f t="shared" si="5"/>
        <v>7444.6672284215765</v>
      </c>
      <c r="D37" s="6">
        <f t="shared" si="1"/>
        <v>-37.047426928119663</v>
      </c>
      <c r="E37" s="6">
        <f t="shared" si="2"/>
        <v>-24.815557428071916</v>
      </c>
      <c r="F37" s="6">
        <f t="shared" si="3"/>
        <v>-12.231869500047742</v>
      </c>
      <c r="G37" s="6">
        <f t="shared" si="4"/>
        <v>7432.4353589215289</v>
      </c>
    </row>
    <row r="38" spans="1:7" x14ac:dyDescent="0.25">
      <c r="A38" s="4">
        <v>3</v>
      </c>
      <c r="B38" s="4">
        <v>29</v>
      </c>
      <c r="C38" s="6">
        <f t="shared" si="5"/>
        <v>7432.4353589215289</v>
      </c>
      <c r="D38" s="6">
        <f t="shared" si="1"/>
        <v>-37.047426928119663</v>
      </c>
      <c r="E38" s="6">
        <f t="shared" si="2"/>
        <v>-24.774784529738429</v>
      </c>
      <c r="F38" s="6">
        <f t="shared" si="3"/>
        <v>-12.27264239838123</v>
      </c>
      <c r="G38" s="6">
        <f t="shared" si="4"/>
        <v>7420.1627165231475</v>
      </c>
    </row>
    <row r="39" spans="1:7" x14ac:dyDescent="0.25">
      <c r="A39" s="4">
        <v>3</v>
      </c>
      <c r="B39" s="4">
        <v>30</v>
      </c>
      <c r="C39" s="6">
        <f t="shared" si="5"/>
        <v>7420.1627165231475</v>
      </c>
      <c r="D39" s="6">
        <f t="shared" si="1"/>
        <v>-37.047426928119663</v>
      </c>
      <c r="E39" s="6">
        <f t="shared" si="2"/>
        <v>-24.733875721743825</v>
      </c>
      <c r="F39" s="6">
        <f t="shared" si="3"/>
        <v>-12.313551206375836</v>
      </c>
      <c r="G39" s="6">
        <f t="shared" si="4"/>
        <v>7407.8491653167721</v>
      </c>
    </row>
    <row r="40" spans="1:7" x14ac:dyDescent="0.25">
      <c r="A40" s="4">
        <v>3</v>
      </c>
      <c r="B40" s="4">
        <v>31</v>
      </c>
      <c r="C40" s="6">
        <f t="shared" si="5"/>
        <v>7407.8491653167721</v>
      </c>
      <c r="D40" s="6">
        <f t="shared" si="1"/>
        <v>-37.047426928119663</v>
      </c>
      <c r="E40" s="6">
        <f t="shared" si="2"/>
        <v>-24.692830551055906</v>
      </c>
      <c r="F40" s="6">
        <f t="shared" si="3"/>
        <v>-12.354596377063755</v>
      </c>
      <c r="G40" s="6">
        <f t="shared" si="4"/>
        <v>7395.4945689397082</v>
      </c>
    </row>
    <row r="41" spans="1:7" x14ac:dyDescent="0.25">
      <c r="A41" s="4">
        <v>3</v>
      </c>
      <c r="B41" s="4">
        <v>32</v>
      </c>
      <c r="C41" s="6">
        <f t="shared" si="5"/>
        <v>7395.4945689397082</v>
      </c>
      <c r="D41" s="6">
        <f t="shared" si="1"/>
        <v>-37.047426928119663</v>
      </c>
      <c r="E41" s="6">
        <f t="shared" si="2"/>
        <v>-24.651648563132355</v>
      </c>
      <c r="F41" s="6">
        <f t="shared" si="3"/>
        <v>-12.395778364987303</v>
      </c>
      <c r="G41" s="6">
        <f t="shared" si="4"/>
        <v>7383.0987905747206</v>
      </c>
    </row>
    <row r="42" spans="1:7" x14ac:dyDescent="0.25">
      <c r="A42" s="4">
        <v>3</v>
      </c>
      <c r="B42" s="4">
        <v>33</v>
      </c>
      <c r="C42" s="6">
        <f t="shared" si="5"/>
        <v>7383.0987905747206</v>
      </c>
      <c r="D42" s="6">
        <f t="shared" si="1"/>
        <v>-37.047426928119663</v>
      </c>
      <c r="E42" s="6">
        <f t="shared" si="2"/>
        <v>-24.61032930191573</v>
      </c>
      <c r="F42" s="6">
        <f t="shared" si="3"/>
        <v>-12.437097626203926</v>
      </c>
      <c r="G42" s="6">
        <f t="shared" si="4"/>
        <v>7370.6616929485162</v>
      </c>
    </row>
    <row r="43" spans="1:7" x14ac:dyDescent="0.25">
      <c r="A43" s="4">
        <v>3</v>
      </c>
      <c r="B43" s="4">
        <v>34</v>
      </c>
      <c r="C43" s="6">
        <f t="shared" si="5"/>
        <v>7370.6616929485162</v>
      </c>
      <c r="D43" s="6">
        <f t="shared" si="1"/>
        <v>-37.047426928119663</v>
      </c>
      <c r="E43" s="6">
        <f t="shared" si="2"/>
        <v>-24.568872309828386</v>
      </c>
      <c r="F43" s="6">
        <f t="shared" si="3"/>
        <v>-12.478554618291273</v>
      </c>
      <c r="G43" s="6">
        <f t="shared" si="4"/>
        <v>7358.1831383302251</v>
      </c>
    </row>
    <row r="44" spans="1:7" x14ac:dyDescent="0.25">
      <c r="A44" s="4">
        <v>3</v>
      </c>
      <c r="B44" s="4">
        <v>35</v>
      </c>
      <c r="C44" s="6">
        <f t="shared" si="5"/>
        <v>7358.1831383302251</v>
      </c>
      <c r="D44" s="6">
        <f t="shared" si="1"/>
        <v>-37.047426928119663</v>
      </c>
      <c r="E44" s="6">
        <f t="shared" si="2"/>
        <v>-24.527277127767416</v>
      </c>
      <c r="F44" s="6">
        <f t="shared" si="3"/>
        <v>-12.520149800352245</v>
      </c>
      <c r="G44" s="6">
        <f t="shared" si="4"/>
        <v>7345.6629885298726</v>
      </c>
    </row>
    <row r="45" spans="1:7" x14ac:dyDescent="0.25">
      <c r="A45" s="4">
        <v>3</v>
      </c>
      <c r="B45" s="4">
        <v>36</v>
      </c>
      <c r="C45" s="6">
        <f t="shared" si="5"/>
        <v>7345.6629885298726</v>
      </c>
      <c r="D45" s="6">
        <f t="shared" si="1"/>
        <v>-37.047426928119663</v>
      </c>
      <c r="E45" s="6">
        <f t="shared" si="2"/>
        <v>-24.485543295099575</v>
      </c>
      <c r="F45" s="6">
        <f t="shared" si="3"/>
        <v>-12.561883633020084</v>
      </c>
      <c r="G45" s="6">
        <f t="shared" si="4"/>
        <v>7333.1011048968521</v>
      </c>
    </row>
    <row r="46" spans="1:7" x14ac:dyDescent="0.25">
      <c r="A46">
        <v>4</v>
      </c>
      <c r="B46">
        <v>37</v>
      </c>
      <c r="C46" s="2">
        <f t="shared" si="5"/>
        <v>7333.1011048968521</v>
      </c>
      <c r="D46" s="2">
        <f t="shared" si="1"/>
        <v>-37.047426928119663</v>
      </c>
      <c r="E46" s="2">
        <f t="shared" si="2"/>
        <v>-24.443670349656177</v>
      </c>
      <c r="F46" s="2">
        <f t="shared" si="3"/>
        <v>-12.603756578463484</v>
      </c>
      <c r="G46" s="2">
        <f t="shared" si="4"/>
        <v>7320.4973483183885</v>
      </c>
    </row>
    <row r="47" spans="1:7" x14ac:dyDescent="0.25">
      <c r="A47">
        <v>4</v>
      </c>
      <c r="B47">
        <v>38</v>
      </c>
      <c r="C47" s="2">
        <f t="shared" si="5"/>
        <v>7320.4973483183885</v>
      </c>
      <c r="D47" s="2">
        <f t="shared" si="1"/>
        <v>-37.047426928119663</v>
      </c>
      <c r="E47" s="2">
        <f t="shared" si="2"/>
        <v>-24.401657827727963</v>
      </c>
      <c r="F47" s="2">
        <f t="shared" si="3"/>
        <v>-12.645769100391695</v>
      </c>
      <c r="G47" s="2">
        <f t="shared" si="4"/>
        <v>7307.8515792179969</v>
      </c>
    </row>
    <row r="48" spans="1:7" x14ac:dyDescent="0.25">
      <c r="A48">
        <v>4</v>
      </c>
      <c r="B48">
        <v>39</v>
      </c>
      <c r="C48" s="2">
        <f t="shared" si="5"/>
        <v>7307.8515792179969</v>
      </c>
      <c r="D48" s="2">
        <f t="shared" si="1"/>
        <v>-37.047426928119663</v>
      </c>
      <c r="E48" s="2">
        <f t="shared" si="2"/>
        <v>-24.35950526405999</v>
      </c>
      <c r="F48" s="2">
        <f t="shared" si="3"/>
        <v>-12.687921664059669</v>
      </c>
      <c r="G48" s="2">
        <f t="shared" si="4"/>
        <v>7295.1636575539369</v>
      </c>
    </row>
    <row r="49" spans="1:7" x14ac:dyDescent="0.25">
      <c r="A49">
        <v>4</v>
      </c>
      <c r="B49">
        <v>40</v>
      </c>
      <c r="C49" s="2">
        <f t="shared" si="5"/>
        <v>7295.1636575539369</v>
      </c>
      <c r="D49" s="2">
        <f t="shared" si="1"/>
        <v>-37.047426928119663</v>
      </c>
      <c r="E49" s="2">
        <f t="shared" si="2"/>
        <v>-24.317212191846455</v>
      </c>
      <c r="F49" s="2">
        <f t="shared" si="3"/>
        <v>-12.730214736273203</v>
      </c>
      <c r="G49" s="2">
        <f t="shared" si="4"/>
        <v>7282.4334428176635</v>
      </c>
    </row>
    <row r="50" spans="1:7" x14ac:dyDescent="0.25">
      <c r="A50">
        <v>4</v>
      </c>
      <c r="B50">
        <v>41</v>
      </c>
      <c r="C50" s="2">
        <f t="shared" si="5"/>
        <v>7282.4334428176635</v>
      </c>
      <c r="D50" s="2">
        <f t="shared" si="1"/>
        <v>-37.047426928119663</v>
      </c>
      <c r="E50" s="2">
        <f t="shared" si="2"/>
        <v>-24.274778142725548</v>
      </c>
      <c r="F50" s="2">
        <f t="shared" si="3"/>
        <v>-12.772648785394111</v>
      </c>
      <c r="G50" s="2">
        <f t="shared" si="4"/>
        <v>7269.6607940322692</v>
      </c>
    </row>
    <row r="51" spans="1:7" x14ac:dyDescent="0.25">
      <c r="A51">
        <v>4</v>
      </c>
      <c r="B51">
        <v>42</v>
      </c>
      <c r="C51" s="2">
        <f t="shared" si="5"/>
        <v>7269.6607940322692</v>
      </c>
      <c r="D51" s="2">
        <f t="shared" si="1"/>
        <v>-37.047426928119663</v>
      </c>
      <c r="E51" s="2">
        <f t="shared" si="2"/>
        <v>-24.232202646774233</v>
      </c>
      <c r="F51" s="2">
        <f t="shared" si="3"/>
        <v>-12.815224281345426</v>
      </c>
      <c r="G51" s="2">
        <f t="shared" si="4"/>
        <v>7256.8455697509235</v>
      </c>
    </row>
    <row r="52" spans="1:7" x14ac:dyDescent="0.25">
      <c r="A52">
        <v>4</v>
      </c>
      <c r="B52">
        <v>43</v>
      </c>
      <c r="C52" s="2">
        <f t="shared" si="5"/>
        <v>7256.8455697509235</v>
      </c>
      <c r="D52" s="2">
        <f t="shared" si="1"/>
        <v>-37.047426928119663</v>
      </c>
      <c r="E52" s="2">
        <f t="shared" si="2"/>
        <v>-24.189485232503081</v>
      </c>
      <c r="F52" s="2">
        <f t="shared" si="3"/>
        <v>-12.857941695616578</v>
      </c>
      <c r="G52" s="2">
        <f t="shared" si="4"/>
        <v>7243.9876280553071</v>
      </c>
    </row>
    <row r="53" spans="1:7" x14ac:dyDescent="0.25">
      <c r="A53">
        <v>4</v>
      </c>
      <c r="B53">
        <v>44</v>
      </c>
      <c r="C53" s="2">
        <f t="shared" si="5"/>
        <v>7243.9876280553071</v>
      </c>
      <c r="D53" s="2">
        <f t="shared" si="1"/>
        <v>-37.047426928119663</v>
      </c>
      <c r="E53" s="2">
        <f t="shared" si="2"/>
        <v>-24.146625426851028</v>
      </c>
      <c r="F53" s="2">
        <f t="shared" si="3"/>
        <v>-12.900801501268631</v>
      </c>
      <c r="G53" s="2">
        <f t="shared" si="4"/>
        <v>7231.0868265540385</v>
      </c>
    </row>
    <row r="54" spans="1:7" x14ac:dyDescent="0.25">
      <c r="A54">
        <v>4</v>
      </c>
      <c r="B54">
        <v>45</v>
      </c>
      <c r="C54" s="2">
        <f t="shared" si="5"/>
        <v>7231.0868265540385</v>
      </c>
      <c r="D54" s="2">
        <f t="shared" si="1"/>
        <v>-37.047426928119663</v>
      </c>
      <c r="E54" s="2">
        <f t="shared" si="2"/>
        <v>-24.103622755180133</v>
      </c>
      <c r="F54" s="2">
        <f t="shared" si="3"/>
        <v>-12.943804172939526</v>
      </c>
      <c r="G54" s="2">
        <f t="shared" si="4"/>
        <v>7218.1430223810985</v>
      </c>
    </row>
    <row r="55" spans="1:7" x14ac:dyDescent="0.25">
      <c r="A55">
        <v>4</v>
      </c>
      <c r="B55">
        <v>46</v>
      </c>
      <c r="C55" s="2">
        <f t="shared" si="5"/>
        <v>7218.1430223810985</v>
      </c>
      <c r="D55" s="2">
        <f t="shared" si="1"/>
        <v>-37.047426928119663</v>
      </c>
      <c r="E55" s="2">
        <f t="shared" si="2"/>
        <v>-24.060476741270335</v>
      </c>
      <c r="F55" s="2">
        <f t="shared" si="3"/>
        <v>-12.986950186849324</v>
      </c>
      <c r="G55" s="2">
        <f t="shared" si="4"/>
        <v>7205.1560721942487</v>
      </c>
    </row>
    <row r="56" spans="1:7" x14ac:dyDescent="0.25">
      <c r="A56">
        <v>4</v>
      </c>
      <c r="B56">
        <v>47</v>
      </c>
      <c r="C56" s="2">
        <f t="shared" si="5"/>
        <v>7205.1560721942487</v>
      </c>
      <c r="D56" s="2">
        <f t="shared" si="1"/>
        <v>-37.047426928119663</v>
      </c>
      <c r="E56" s="2">
        <f t="shared" si="2"/>
        <v>-24.017186907314169</v>
      </c>
      <c r="F56" s="2">
        <f t="shared" si="3"/>
        <v>-13.030240020805488</v>
      </c>
      <c r="G56" s="2">
        <f t="shared" si="4"/>
        <v>7192.1258321734431</v>
      </c>
    </row>
    <row r="57" spans="1:7" x14ac:dyDescent="0.25">
      <c r="A57">
        <v>4</v>
      </c>
      <c r="B57">
        <v>48</v>
      </c>
      <c r="C57" s="2">
        <f t="shared" si="5"/>
        <v>7192.1258321734431</v>
      </c>
      <c r="D57" s="2">
        <f t="shared" si="1"/>
        <v>-37.047426928119663</v>
      </c>
      <c r="E57" s="2">
        <f t="shared" si="2"/>
        <v>-23.973752773911489</v>
      </c>
      <c r="F57" s="2">
        <f t="shared" si="3"/>
        <v>-13.073674154208176</v>
      </c>
      <c r="G57" s="2">
        <f t="shared" si="4"/>
        <v>7179.0521580192353</v>
      </c>
    </row>
    <row r="58" spans="1:7" x14ac:dyDescent="0.25">
      <c r="A58" s="4">
        <v>5</v>
      </c>
      <c r="B58" s="4">
        <v>49</v>
      </c>
      <c r="C58" s="6">
        <f t="shared" si="5"/>
        <v>7179.0521580192353</v>
      </c>
      <c r="D58" s="6">
        <f t="shared" si="1"/>
        <v>-37.047426928119663</v>
      </c>
      <c r="E58" s="6">
        <f t="shared" si="2"/>
        <v>-23.930173860064123</v>
      </c>
      <c r="F58" s="6">
        <f t="shared" si="3"/>
        <v>-13.117253068055536</v>
      </c>
      <c r="G58" s="6">
        <f t="shared" si="4"/>
        <v>7165.9349049511802</v>
      </c>
    </row>
    <row r="59" spans="1:7" x14ac:dyDescent="0.25">
      <c r="A59" s="4">
        <v>5</v>
      </c>
      <c r="B59" s="4">
        <v>50</v>
      </c>
      <c r="C59" s="6">
        <f t="shared" si="5"/>
        <v>7165.9349049511802</v>
      </c>
      <c r="D59" s="6">
        <f t="shared" si="1"/>
        <v>-37.047426928119663</v>
      </c>
      <c r="E59" s="6">
        <f t="shared" si="2"/>
        <v>-23.886449683170607</v>
      </c>
      <c r="F59" s="6">
        <f t="shared" si="3"/>
        <v>-13.160977244949054</v>
      </c>
      <c r="G59" s="6">
        <f t="shared" si="4"/>
        <v>7152.773927706231</v>
      </c>
    </row>
    <row r="60" spans="1:7" x14ac:dyDescent="0.25">
      <c r="A60" s="4">
        <v>5</v>
      </c>
      <c r="B60" s="4">
        <v>51</v>
      </c>
      <c r="C60" s="6">
        <f t="shared" si="5"/>
        <v>7152.773927706231</v>
      </c>
      <c r="D60" s="6">
        <f t="shared" si="1"/>
        <v>-37.047426928119663</v>
      </c>
      <c r="E60" s="6">
        <f t="shared" si="2"/>
        <v>-23.842579759020776</v>
      </c>
      <c r="F60" s="6">
        <f t="shared" si="3"/>
        <v>-13.204847169098885</v>
      </c>
      <c r="G60" s="6">
        <f t="shared" si="4"/>
        <v>7139.5690805371323</v>
      </c>
    </row>
    <row r="61" spans="1:7" x14ac:dyDescent="0.25">
      <c r="A61" s="4">
        <v>5</v>
      </c>
      <c r="B61" s="4">
        <v>52</v>
      </c>
      <c r="C61" s="6">
        <f t="shared" si="5"/>
        <v>7139.5690805371323</v>
      </c>
      <c r="D61" s="6">
        <f t="shared" si="1"/>
        <v>-37.047426928119663</v>
      </c>
      <c r="E61" s="6">
        <f t="shared" si="2"/>
        <v>-23.798563601790448</v>
      </c>
      <c r="F61" s="6">
        <f t="shared" si="3"/>
        <v>-13.248863326329213</v>
      </c>
      <c r="G61" s="6">
        <f t="shared" si="4"/>
        <v>7126.3202172108031</v>
      </c>
    </row>
    <row r="62" spans="1:7" x14ac:dyDescent="0.25">
      <c r="A62" s="4">
        <v>5</v>
      </c>
      <c r="B62" s="4">
        <v>53</v>
      </c>
      <c r="C62" s="6">
        <f t="shared" si="5"/>
        <v>7126.3202172108031</v>
      </c>
      <c r="D62" s="6">
        <f t="shared" si="1"/>
        <v>-37.047426928119663</v>
      </c>
      <c r="E62" s="6">
        <f t="shared" si="2"/>
        <v>-23.754400724036017</v>
      </c>
      <c r="F62" s="6">
        <f t="shared" si="3"/>
        <v>-13.293026204083644</v>
      </c>
      <c r="G62" s="6">
        <f t="shared" si="4"/>
        <v>7113.0271910067195</v>
      </c>
    </row>
    <row r="63" spans="1:7" x14ac:dyDescent="0.25">
      <c r="A63" s="4">
        <v>5</v>
      </c>
      <c r="B63" s="4">
        <v>54</v>
      </c>
      <c r="C63" s="6">
        <f t="shared" si="5"/>
        <v>7113.0271910067195</v>
      </c>
      <c r="D63" s="6">
        <f t="shared" si="1"/>
        <v>-37.047426928119663</v>
      </c>
      <c r="E63" s="6">
        <f t="shared" si="2"/>
        <v>-23.710090636689074</v>
      </c>
      <c r="F63" s="6">
        <f t="shared" si="3"/>
        <v>-13.337336291430589</v>
      </c>
      <c r="G63" s="6">
        <f t="shared" si="4"/>
        <v>7099.6898547152887</v>
      </c>
    </row>
    <row r="64" spans="1:7" x14ac:dyDescent="0.25">
      <c r="A64" s="4">
        <v>5</v>
      </c>
      <c r="B64" s="4">
        <v>55</v>
      </c>
      <c r="C64" s="6">
        <f t="shared" si="5"/>
        <v>7099.6898547152887</v>
      </c>
      <c r="D64" s="6">
        <f t="shared" si="1"/>
        <v>-37.047426928119663</v>
      </c>
      <c r="E64" s="6">
        <f t="shared" si="2"/>
        <v>-23.665632849050965</v>
      </c>
      <c r="F64" s="6">
        <f t="shared" si="3"/>
        <v>-13.381794079068692</v>
      </c>
      <c r="G64" s="6">
        <f t="shared" si="4"/>
        <v>7086.30806063622</v>
      </c>
    </row>
    <row r="65" spans="1:7" x14ac:dyDescent="0.25">
      <c r="A65" s="4">
        <v>5</v>
      </c>
      <c r="B65" s="4">
        <v>56</v>
      </c>
      <c r="C65" s="6">
        <f t="shared" si="5"/>
        <v>7086.30806063622</v>
      </c>
      <c r="D65" s="6">
        <f t="shared" si="1"/>
        <v>-37.047426928119663</v>
      </c>
      <c r="E65" s="6">
        <f t="shared" si="2"/>
        <v>-23.621026868787407</v>
      </c>
      <c r="F65" s="6">
        <f t="shared" si="3"/>
        <v>-13.426400059332256</v>
      </c>
      <c r="G65" s="6">
        <f t="shared" si="4"/>
        <v>7072.881660576888</v>
      </c>
    </row>
    <row r="66" spans="1:7" x14ac:dyDescent="0.25">
      <c r="A66" s="4">
        <v>5</v>
      </c>
      <c r="B66" s="4">
        <v>57</v>
      </c>
      <c r="C66" s="6">
        <f t="shared" si="5"/>
        <v>7072.881660576888</v>
      </c>
      <c r="D66" s="6">
        <f t="shared" si="1"/>
        <v>-37.047426928119663</v>
      </c>
      <c r="E66" s="6">
        <f t="shared" si="2"/>
        <v>-23.576272201922965</v>
      </c>
      <c r="F66" s="6">
        <f t="shared" si="3"/>
        <v>-13.471154726196698</v>
      </c>
      <c r="G66" s="6">
        <f t="shared" si="4"/>
        <v>7059.4105058506912</v>
      </c>
    </row>
    <row r="67" spans="1:7" x14ac:dyDescent="0.25">
      <c r="A67" s="4">
        <v>5</v>
      </c>
      <c r="B67" s="4">
        <v>58</v>
      </c>
      <c r="C67" s="6">
        <f t="shared" si="5"/>
        <v>7059.4105058506912</v>
      </c>
      <c r="D67" s="6">
        <f t="shared" si="1"/>
        <v>-37.047426928119663</v>
      </c>
      <c r="E67" s="6">
        <f t="shared" si="2"/>
        <v>-23.531368352835639</v>
      </c>
      <c r="F67" s="6">
        <f t="shared" si="3"/>
        <v>-13.516058575284019</v>
      </c>
      <c r="G67" s="6">
        <f t="shared" si="4"/>
        <v>7045.8944472754074</v>
      </c>
    </row>
    <row r="68" spans="1:7" x14ac:dyDescent="0.25">
      <c r="A68" s="4">
        <v>5</v>
      </c>
      <c r="B68" s="4">
        <v>59</v>
      </c>
      <c r="C68" s="6">
        <f t="shared" si="5"/>
        <v>7045.8944472754074</v>
      </c>
      <c r="D68" s="6">
        <f t="shared" si="1"/>
        <v>-37.047426928119663</v>
      </c>
      <c r="E68" s="6">
        <f t="shared" si="2"/>
        <v>-23.486314824251362</v>
      </c>
      <c r="F68" s="6">
        <f t="shared" si="3"/>
        <v>-13.561112103868297</v>
      </c>
      <c r="G68" s="6">
        <f t="shared" si="4"/>
        <v>7032.3333351715391</v>
      </c>
    </row>
    <row r="69" spans="1:7" x14ac:dyDescent="0.25">
      <c r="A69" s="4">
        <v>5</v>
      </c>
      <c r="B69" s="4">
        <v>60</v>
      </c>
      <c r="C69" s="6">
        <f t="shared" si="5"/>
        <v>7032.3333351715391</v>
      </c>
      <c r="D69" s="6">
        <f t="shared" si="1"/>
        <v>-37.047426928119663</v>
      </c>
      <c r="E69" s="6">
        <f t="shared" si="2"/>
        <v>-23.441111117238467</v>
      </c>
      <c r="F69" s="6">
        <f t="shared" si="3"/>
        <v>-13.60631581088119</v>
      </c>
      <c r="G69" s="6">
        <f t="shared" si="4"/>
        <v>7018.7270193606582</v>
      </c>
    </row>
    <row r="70" spans="1:7" x14ac:dyDescent="0.25">
      <c r="A70">
        <v>6</v>
      </c>
      <c r="B70">
        <v>61</v>
      </c>
      <c r="C70" s="2">
        <f t="shared" si="5"/>
        <v>7018.7270193606582</v>
      </c>
      <c r="D70" s="2">
        <f t="shared" si="1"/>
        <v>-37.047426928119663</v>
      </c>
      <c r="E70" s="2">
        <f t="shared" si="2"/>
        <v>-23.395756731202194</v>
      </c>
      <c r="F70" s="2">
        <f t="shared" si="3"/>
        <v>-13.651670196917465</v>
      </c>
      <c r="G70" s="2">
        <f t="shared" si="4"/>
        <v>7005.0753491637406</v>
      </c>
    </row>
    <row r="71" spans="1:7" x14ac:dyDescent="0.25">
      <c r="A71">
        <v>6</v>
      </c>
      <c r="B71">
        <v>62</v>
      </c>
      <c r="C71" s="2">
        <f t="shared" si="5"/>
        <v>7005.0753491637406</v>
      </c>
      <c r="D71" s="2">
        <f t="shared" si="1"/>
        <v>-37.047426928119663</v>
      </c>
      <c r="E71" s="2">
        <f t="shared" si="2"/>
        <v>-23.350251163879143</v>
      </c>
      <c r="F71" s="2">
        <f t="shared" si="3"/>
        <v>-13.697175764240519</v>
      </c>
      <c r="G71" s="2">
        <f t="shared" si="4"/>
        <v>6991.3781733995002</v>
      </c>
    </row>
    <row r="72" spans="1:7" x14ac:dyDescent="0.25">
      <c r="A72">
        <v>6</v>
      </c>
      <c r="B72">
        <v>63</v>
      </c>
      <c r="C72" s="2">
        <f t="shared" si="5"/>
        <v>6991.3781733995002</v>
      </c>
      <c r="D72" s="2">
        <f t="shared" si="1"/>
        <v>-37.047426928119663</v>
      </c>
      <c r="E72" s="2">
        <f t="shared" si="2"/>
        <v>-23.304593911331672</v>
      </c>
      <c r="F72" s="2">
        <f t="shared" si="3"/>
        <v>-13.742833016787989</v>
      </c>
      <c r="G72" s="2">
        <f t="shared" si="4"/>
        <v>6977.6353403827125</v>
      </c>
    </row>
    <row r="73" spans="1:7" x14ac:dyDescent="0.25">
      <c r="A73">
        <v>6</v>
      </c>
      <c r="B73">
        <v>64</v>
      </c>
      <c r="C73" s="2">
        <f t="shared" si="5"/>
        <v>6977.6353403827125</v>
      </c>
      <c r="D73" s="2">
        <f t="shared" si="1"/>
        <v>-37.047426928119663</v>
      </c>
      <c r="E73" s="2">
        <f t="shared" si="2"/>
        <v>-23.258784467942377</v>
      </c>
      <c r="F73" s="2">
        <f t="shared" si="3"/>
        <v>-13.788642460177284</v>
      </c>
      <c r="G73" s="2">
        <f t="shared" si="4"/>
        <v>6963.846697922535</v>
      </c>
    </row>
    <row r="74" spans="1:7" x14ac:dyDescent="0.25">
      <c r="A74">
        <v>6</v>
      </c>
      <c r="B74">
        <v>65</v>
      </c>
      <c r="C74" s="2">
        <f t="shared" si="5"/>
        <v>6963.846697922535</v>
      </c>
      <c r="D74" s="2">
        <f t="shared" si="1"/>
        <v>-37.047426928119663</v>
      </c>
      <c r="E74" s="2">
        <f t="shared" si="2"/>
        <v>-23.212822326408457</v>
      </c>
      <c r="F74" s="2">
        <f t="shared" si="3"/>
        <v>-13.834604601711206</v>
      </c>
      <c r="G74" s="2">
        <f t="shared" si="4"/>
        <v>6950.0120933208236</v>
      </c>
    </row>
    <row r="75" spans="1:7" x14ac:dyDescent="0.25">
      <c r="A75">
        <v>6</v>
      </c>
      <c r="B75">
        <v>66</v>
      </c>
      <c r="C75" s="2">
        <f t="shared" si="5"/>
        <v>6950.0120933208236</v>
      </c>
      <c r="D75" s="2">
        <f t="shared" ref="D75:D138" si="6">PMT($D$4/12,$D$5*12,$D$3)</f>
        <v>-37.047426928119663</v>
      </c>
      <c r="E75" s="2">
        <f t="shared" ref="E75:E138" si="7">IPMT($D$4/12,B75,$D$5*12,$D$3)</f>
        <v>-23.166706977736084</v>
      </c>
      <c r="F75" s="2">
        <f t="shared" ref="F75:F138" si="8">PPMT($D$4/12,B75,$D$5*12,$D$3)</f>
        <v>-13.880719950383577</v>
      </c>
      <c r="G75" s="2">
        <f t="shared" ref="G75:G138" si="9">F75+C75</f>
        <v>6936.1313733704401</v>
      </c>
    </row>
    <row r="76" spans="1:7" x14ac:dyDescent="0.25">
      <c r="A76">
        <v>6</v>
      </c>
      <c r="B76">
        <v>67</v>
      </c>
      <c r="C76" s="2">
        <f t="shared" ref="C76:C139" si="10">G75</f>
        <v>6936.1313733704401</v>
      </c>
      <c r="D76" s="2">
        <f t="shared" si="6"/>
        <v>-37.047426928119663</v>
      </c>
      <c r="E76" s="2">
        <f t="shared" si="7"/>
        <v>-23.120437911234806</v>
      </c>
      <c r="F76" s="2">
        <f t="shared" si="8"/>
        <v>-13.926989016884855</v>
      </c>
      <c r="G76" s="2">
        <f t="shared" si="9"/>
        <v>6922.2043843535548</v>
      </c>
    </row>
    <row r="77" spans="1:7" x14ac:dyDescent="0.25">
      <c r="A77">
        <v>6</v>
      </c>
      <c r="B77">
        <v>68</v>
      </c>
      <c r="C77" s="2">
        <f t="shared" si="10"/>
        <v>6922.2043843535548</v>
      </c>
      <c r="D77" s="2">
        <f t="shared" si="6"/>
        <v>-37.047426928119663</v>
      </c>
      <c r="E77" s="2">
        <f t="shared" si="7"/>
        <v>-23.074014614511853</v>
      </c>
      <c r="F77" s="2">
        <f t="shared" si="8"/>
        <v>-13.973412313607806</v>
      </c>
      <c r="G77" s="2">
        <f t="shared" si="9"/>
        <v>6908.2309720399471</v>
      </c>
    </row>
    <row r="78" spans="1:7" x14ac:dyDescent="0.25">
      <c r="A78">
        <v>6</v>
      </c>
      <c r="B78">
        <v>69</v>
      </c>
      <c r="C78" s="2">
        <f t="shared" si="10"/>
        <v>6908.2309720399471</v>
      </c>
      <c r="D78" s="2">
        <f t="shared" si="6"/>
        <v>-37.047426928119663</v>
      </c>
      <c r="E78" s="2">
        <f t="shared" si="7"/>
        <v>-23.027436573466492</v>
      </c>
      <c r="F78" s="2">
        <f t="shared" si="8"/>
        <v>-14.019990354653165</v>
      </c>
      <c r="G78" s="2">
        <f t="shared" si="9"/>
        <v>6894.2109816852935</v>
      </c>
    </row>
    <row r="79" spans="1:7" x14ac:dyDescent="0.25">
      <c r="A79">
        <v>6</v>
      </c>
      <c r="B79">
        <v>70</v>
      </c>
      <c r="C79" s="2">
        <f t="shared" si="10"/>
        <v>6894.2109816852935</v>
      </c>
      <c r="D79" s="2">
        <f t="shared" si="6"/>
        <v>-37.047426928119663</v>
      </c>
      <c r="E79" s="2">
        <f t="shared" si="7"/>
        <v>-22.980703272284316</v>
      </c>
      <c r="F79" s="2">
        <f t="shared" si="8"/>
        <v>-14.066723655835341</v>
      </c>
      <c r="G79" s="2">
        <f t="shared" si="9"/>
        <v>6880.1442580294579</v>
      </c>
    </row>
    <row r="80" spans="1:7" x14ac:dyDescent="0.25">
      <c r="A80">
        <v>6</v>
      </c>
      <c r="B80">
        <v>71</v>
      </c>
      <c r="C80" s="2">
        <f t="shared" si="10"/>
        <v>6880.1442580294579</v>
      </c>
      <c r="D80" s="2">
        <f t="shared" si="6"/>
        <v>-37.047426928119663</v>
      </c>
      <c r="E80" s="2">
        <f t="shared" si="7"/>
        <v>-22.933814193431534</v>
      </c>
      <c r="F80" s="2">
        <f t="shared" si="8"/>
        <v>-14.113612734688125</v>
      </c>
      <c r="G80" s="2">
        <f t="shared" si="9"/>
        <v>6866.0306452947698</v>
      </c>
    </row>
    <row r="81" spans="1:7" x14ac:dyDescent="0.25">
      <c r="A81">
        <v>6</v>
      </c>
      <c r="B81">
        <v>72</v>
      </c>
      <c r="C81" s="2">
        <f t="shared" si="10"/>
        <v>6866.0306452947698</v>
      </c>
      <c r="D81" s="2">
        <f t="shared" si="6"/>
        <v>-37.047426928119663</v>
      </c>
      <c r="E81" s="2">
        <f t="shared" si="7"/>
        <v>-22.886768817649244</v>
      </c>
      <c r="F81" s="2">
        <f t="shared" si="8"/>
        <v>-14.16065811047042</v>
      </c>
      <c r="G81" s="2">
        <f t="shared" si="9"/>
        <v>6851.8699871842991</v>
      </c>
    </row>
    <row r="82" spans="1:7" x14ac:dyDescent="0.25">
      <c r="A82" s="4">
        <v>7</v>
      </c>
      <c r="B82" s="4">
        <v>73</v>
      </c>
      <c r="C82" s="6">
        <f t="shared" si="10"/>
        <v>6851.8699871842991</v>
      </c>
      <c r="D82" s="6">
        <f t="shared" si="6"/>
        <v>-37.047426928119663</v>
      </c>
      <c r="E82" s="6">
        <f t="shared" si="7"/>
        <v>-22.839566623947672</v>
      </c>
      <c r="F82" s="6">
        <f t="shared" si="8"/>
        <v>-14.207860304171989</v>
      </c>
      <c r="G82" s="6">
        <f t="shared" si="9"/>
        <v>6837.6621268801273</v>
      </c>
    </row>
    <row r="83" spans="1:7" x14ac:dyDescent="0.25">
      <c r="A83" s="4">
        <v>7</v>
      </c>
      <c r="B83" s="4">
        <v>74</v>
      </c>
      <c r="C83" s="6">
        <f t="shared" si="10"/>
        <v>6837.6621268801273</v>
      </c>
      <c r="D83" s="6">
        <f t="shared" si="6"/>
        <v>-37.047426928119663</v>
      </c>
      <c r="E83" s="6">
        <f t="shared" si="7"/>
        <v>-22.792207089600431</v>
      </c>
      <c r="F83" s="6">
        <f t="shared" si="8"/>
        <v>-14.255219838519228</v>
      </c>
      <c r="G83" s="6">
        <f t="shared" si="9"/>
        <v>6823.4069070416081</v>
      </c>
    </row>
    <row r="84" spans="1:7" x14ac:dyDescent="0.25">
      <c r="A84" s="4">
        <v>7</v>
      </c>
      <c r="B84" s="4">
        <v>75</v>
      </c>
      <c r="C84" s="6">
        <f t="shared" si="10"/>
        <v>6823.4069070416081</v>
      </c>
      <c r="D84" s="6">
        <f t="shared" si="6"/>
        <v>-37.047426928119663</v>
      </c>
      <c r="E84" s="6">
        <f t="shared" si="7"/>
        <v>-22.744689690138703</v>
      </c>
      <c r="F84" s="6">
        <f t="shared" si="8"/>
        <v>-14.302737237980958</v>
      </c>
      <c r="G84" s="6">
        <f t="shared" si="9"/>
        <v>6809.104169803627</v>
      </c>
    </row>
    <row r="85" spans="1:7" x14ac:dyDescent="0.25">
      <c r="A85" s="4">
        <v>7</v>
      </c>
      <c r="B85" s="4">
        <v>76</v>
      </c>
      <c r="C85" s="6">
        <f t="shared" si="10"/>
        <v>6809.104169803627</v>
      </c>
      <c r="D85" s="6">
        <f t="shared" si="6"/>
        <v>-37.047426928119663</v>
      </c>
      <c r="E85" s="6">
        <f t="shared" si="7"/>
        <v>-22.697013899345436</v>
      </c>
      <c r="F85" s="6">
        <f t="shared" si="8"/>
        <v>-14.350413028774229</v>
      </c>
      <c r="G85" s="6">
        <f t="shared" si="9"/>
        <v>6794.7537567748532</v>
      </c>
    </row>
    <row r="86" spans="1:7" x14ac:dyDescent="0.25">
      <c r="A86" s="4">
        <v>7</v>
      </c>
      <c r="B86" s="4">
        <v>77</v>
      </c>
      <c r="C86" s="6">
        <f t="shared" si="10"/>
        <v>6794.7537567748532</v>
      </c>
      <c r="D86" s="6">
        <f t="shared" si="6"/>
        <v>-37.047426928119663</v>
      </c>
      <c r="E86" s="6">
        <f t="shared" si="7"/>
        <v>-22.649179189249519</v>
      </c>
      <c r="F86" s="6">
        <f t="shared" si="8"/>
        <v>-14.398247738870142</v>
      </c>
      <c r="G86" s="6">
        <f t="shared" si="9"/>
        <v>6780.3555090359832</v>
      </c>
    </row>
    <row r="87" spans="1:7" x14ac:dyDescent="0.25">
      <c r="A87" s="4">
        <v>7</v>
      </c>
      <c r="B87" s="4">
        <v>78</v>
      </c>
      <c r="C87" s="6">
        <f t="shared" si="10"/>
        <v>6780.3555090359832</v>
      </c>
      <c r="D87" s="6">
        <f t="shared" si="6"/>
        <v>-37.047426928119663</v>
      </c>
      <c r="E87" s="6">
        <f t="shared" si="7"/>
        <v>-22.60118503011995</v>
      </c>
      <c r="F87" s="6">
        <f t="shared" si="8"/>
        <v>-14.446241897999709</v>
      </c>
      <c r="G87" s="6">
        <f t="shared" si="9"/>
        <v>6765.9092671379831</v>
      </c>
    </row>
    <row r="88" spans="1:7" x14ac:dyDescent="0.25">
      <c r="A88" s="4">
        <v>7</v>
      </c>
      <c r="B88" s="4">
        <v>79</v>
      </c>
      <c r="C88" s="6">
        <f t="shared" si="10"/>
        <v>6765.9092671379831</v>
      </c>
      <c r="D88" s="6">
        <f t="shared" si="6"/>
        <v>-37.047426928119663</v>
      </c>
      <c r="E88" s="6">
        <f t="shared" si="7"/>
        <v>-22.553030890459951</v>
      </c>
      <c r="F88" s="6">
        <f t="shared" si="8"/>
        <v>-14.494396037659708</v>
      </c>
      <c r="G88" s="6">
        <f t="shared" si="9"/>
        <v>6751.4148711003236</v>
      </c>
    </row>
    <row r="89" spans="1:7" x14ac:dyDescent="0.25">
      <c r="A89" s="4">
        <v>7</v>
      </c>
      <c r="B89" s="4">
        <v>80</v>
      </c>
      <c r="C89" s="6">
        <f t="shared" si="10"/>
        <v>6751.4148711003236</v>
      </c>
      <c r="D89" s="6">
        <f t="shared" si="6"/>
        <v>-37.047426928119663</v>
      </c>
      <c r="E89" s="6">
        <f t="shared" si="7"/>
        <v>-22.504716237001084</v>
      </c>
      <c r="F89" s="6">
        <f t="shared" si="8"/>
        <v>-14.542710691118577</v>
      </c>
      <c r="G89" s="6">
        <f t="shared" si="9"/>
        <v>6736.8721604092052</v>
      </c>
    </row>
    <row r="90" spans="1:7" x14ac:dyDescent="0.25">
      <c r="A90" s="4">
        <v>7</v>
      </c>
      <c r="B90" s="4">
        <v>81</v>
      </c>
      <c r="C90" s="6">
        <f t="shared" si="10"/>
        <v>6736.8721604092052</v>
      </c>
      <c r="D90" s="6">
        <f t="shared" si="6"/>
        <v>-37.047426928119663</v>
      </c>
      <c r="E90" s="6">
        <f t="shared" si="7"/>
        <v>-22.456240534697361</v>
      </c>
      <c r="F90" s="6">
        <f t="shared" si="8"/>
        <v>-14.591186393422301</v>
      </c>
      <c r="G90" s="6">
        <f t="shared" si="9"/>
        <v>6722.2809740157827</v>
      </c>
    </row>
    <row r="91" spans="1:7" x14ac:dyDescent="0.25">
      <c r="A91" s="4">
        <v>7</v>
      </c>
      <c r="B91" s="4">
        <v>82</v>
      </c>
      <c r="C91" s="6">
        <f t="shared" si="10"/>
        <v>6722.2809740157827</v>
      </c>
      <c r="D91" s="6">
        <f t="shared" si="6"/>
        <v>-37.047426928119663</v>
      </c>
      <c r="E91" s="6">
        <f t="shared" si="7"/>
        <v>-22.40760324671928</v>
      </c>
      <c r="F91" s="6">
        <f t="shared" si="8"/>
        <v>-14.639823681400379</v>
      </c>
      <c r="G91" s="6">
        <f t="shared" si="9"/>
        <v>6707.6411503343825</v>
      </c>
    </row>
    <row r="92" spans="1:7" x14ac:dyDescent="0.25">
      <c r="A92" s="4">
        <v>7</v>
      </c>
      <c r="B92" s="4">
        <v>83</v>
      </c>
      <c r="C92" s="6">
        <f t="shared" si="10"/>
        <v>6707.6411503343825</v>
      </c>
      <c r="D92" s="6">
        <f t="shared" si="6"/>
        <v>-37.047426928119663</v>
      </c>
      <c r="E92" s="6">
        <f t="shared" si="7"/>
        <v>-22.358803834447947</v>
      </c>
      <c r="F92" s="6">
        <f t="shared" si="8"/>
        <v>-14.688623093671714</v>
      </c>
      <c r="G92" s="6">
        <f t="shared" si="9"/>
        <v>6692.9525272407109</v>
      </c>
    </row>
    <row r="93" spans="1:7" x14ac:dyDescent="0.25">
      <c r="A93" s="4">
        <v>7</v>
      </c>
      <c r="B93" s="4">
        <v>84</v>
      </c>
      <c r="C93" s="6">
        <f t="shared" si="10"/>
        <v>6692.9525272407109</v>
      </c>
      <c r="D93" s="6">
        <f t="shared" si="6"/>
        <v>-37.047426928119663</v>
      </c>
      <c r="E93" s="6">
        <f t="shared" si="7"/>
        <v>-22.309841757469044</v>
      </c>
      <c r="F93" s="6">
        <f t="shared" si="8"/>
        <v>-14.737585170650616</v>
      </c>
      <c r="G93" s="7">
        <f t="shared" si="9"/>
        <v>6678.2149420700607</v>
      </c>
    </row>
    <row r="94" spans="1:7" x14ac:dyDescent="0.25">
      <c r="B94">
        <v>85</v>
      </c>
      <c r="C94" s="2">
        <f t="shared" si="10"/>
        <v>6678.2149420700607</v>
      </c>
      <c r="D94" s="2">
        <f t="shared" si="6"/>
        <v>-37.047426928119663</v>
      </c>
      <c r="E94" s="2">
        <f t="shared" si="7"/>
        <v>-22.260716473566873</v>
      </c>
      <c r="F94" s="2">
        <f t="shared" si="8"/>
        <v>-14.786710454552786</v>
      </c>
      <c r="G94" s="2">
        <f t="shared" si="9"/>
        <v>6663.4282316155077</v>
      </c>
    </row>
    <row r="95" spans="1:7" x14ac:dyDescent="0.25">
      <c r="B95">
        <v>86</v>
      </c>
      <c r="C95" s="2">
        <f t="shared" si="10"/>
        <v>6663.4282316155077</v>
      </c>
      <c r="D95" s="2">
        <f t="shared" si="6"/>
        <v>-37.047426928119663</v>
      </c>
      <c r="E95" s="2">
        <f t="shared" si="7"/>
        <v>-22.211427438718367</v>
      </c>
      <c r="F95" s="2">
        <f t="shared" si="8"/>
        <v>-14.835999489401296</v>
      </c>
      <c r="G95" s="2">
        <f t="shared" si="9"/>
        <v>6648.592232126106</v>
      </c>
    </row>
    <row r="96" spans="1:7" x14ac:dyDescent="0.25">
      <c r="B96">
        <v>87</v>
      </c>
      <c r="C96" s="2">
        <f t="shared" si="10"/>
        <v>6648.592232126106</v>
      </c>
      <c r="D96" s="2">
        <f t="shared" si="6"/>
        <v>-37.047426928119663</v>
      </c>
      <c r="E96" s="2">
        <f t="shared" si="7"/>
        <v>-22.161974107087023</v>
      </c>
      <c r="F96" s="2">
        <f t="shared" si="8"/>
        <v>-14.885452821032636</v>
      </c>
      <c r="G96" s="2">
        <f t="shared" si="9"/>
        <v>6633.7067793050737</v>
      </c>
    </row>
    <row r="97" spans="2:7" x14ac:dyDescent="0.25">
      <c r="B97">
        <v>88</v>
      </c>
      <c r="C97" s="2">
        <f t="shared" si="10"/>
        <v>6633.7067793050737</v>
      </c>
      <c r="D97" s="2">
        <f t="shared" si="6"/>
        <v>-37.047426928119663</v>
      </c>
      <c r="E97" s="2">
        <f t="shared" si="7"/>
        <v>-22.112355931016918</v>
      </c>
      <c r="F97" s="2">
        <f t="shared" si="8"/>
        <v>-14.935070997102743</v>
      </c>
      <c r="G97" s="2">
        <f t="shared" si="9"/>
        <v>6618.7717083079706</v>
      </c>
    </row>
    <row r="98" spans="2:7" x14ac:dyDescent="0.25">
      <c r="B98">
        <v>89</v>
      </c>
      <c r="C98" s="2">
        <f t="shared" si="10"/>
        <v>6618.7717083079706</v>
      </c>
      <c r="D98" s="2">
        <f t="shared" si="6"/>
        <v>-37.047426928119663</v>
      </c>
      <c r="E98" s="2">
        <f t="shared" si="7"/>
        <v>-22.062572361026572</v>
      </c>
      <c r="F98" s="2">
        <f t="shared" si="8"/>
        <v>-14.984854567093087</v>
      </c>
      <c r="G98" s="2">
        <f t="shared" si="9"/>
        <v>6603.7868537408776</v>
      </c>
    </row>
    <row r="99" spans="2:7" x14ac:dyDescent="0.25">
      <c r="B99">
        <v>90</v>
      </c>
      <c r="C99" s="2">
        <f t="shared" si="10"/>
        <v>6603.7868537408776</v>
      </c>
      <c r="D99" s="2">
        <f t="shared" si="6"/>
        <v>-37.047426928119663</v>
      </c>
      <c r="E99" s="2">
        <f t="shared" si="7"/>
        <v>-22.012622845802934</v>
      </c>
      <c r="F99" s="2">
        <f t="shared" si="8"/>
        <v>-15.034804082316731</v>
      </c>
      <c r="G99" s="2">
        <f t="shared" si="9"/>
        <v>6588.7520496585612</v>
      </c>
    </row>
    <row r="100" spans="2:7" x14ac:dyDescent="0.25">
      <c r="B100">
        <v>91</v>
      </c>
      <c r="C100" s="2">
        <f t="shared" si="10"/>
        <v>6588.7520496585612</v>
      </c>
      <c r="D100" s="2">
        <f t="shared" si="6"/>
        <v>-37.047426928119663</v>
      </c>
      <c r="E100" s="2">
        <f t="shared" si="7"/>
        <v>-21.96250683219521</v>
      </c>
      <c r="F100" s="2">
        <f t="shared" si="8"/>
        <v>-15.084920095924451</v>
      </c>
      <c r="G100" s="2">
        <f t="shared" si="9"/>
        <v>6573.6671295626365</v>
      </c>
    </row>
    <row r="101" spans="2:7" x14ac:dyDescent="0.25">
      <c r="B101">
        <v>92</v>
      </c>
      <c r="C101" s="2">
        <f t="shared" si="10"/>
        <v>6573.6671295626365</v>
      </c>
      <c r="D101" s="2">
        <f t="shared" si="6"/>
        <v>-37.047426928119663</v>
      </c>
      <c r="E101" s="2">
        <f t="shared" si="7"/>
        <v>-21.912223765208793</v>
      </c>
      <c r="F101" s="2">
        <f t="shared" si="8"/>
        <v>-15.135203162910868</v>
      </c>
      <c r="G101" s="2">
        <f t="shared" si="9"/>
        <v>6558.5319263997253</v>
      </c>
    </row>
    <row r="102" spans="2:7" x14ac:dyDescent="0.25">
      <c r="B102">
        <v>93</v>
      </c>
      <c r="C102" s="2">
        <f t="shared" si="10"/>
        <v>6558.5319263997253</v>
      </c>
      <c r="D102" s="2">
        <f t="shared" si="6"/>
        <v>-37.047426928119663</v>
      </c>
      <c r="E102" s="2">
        <f t="shared" si="7"/>
        <v>-21.86177308799909</v>
      </c>
      <c r="F102" s="2">
        <f t="shared" si="8"/>
        <v>-15.185653840120569</v>
      </c>
      <c r="G102" s="2">
        <f t="shared" si="9"/>
        <v>6543.3462725596046</v>
      </c>
    </row>
    <row r="103" spans="2:7" x14ac:dyDescent="0.25">
      <c r="B103">
        <v>94</v>
      </c>
      <c r="C103" s="2">
        <f t="shared" si="10"/>
        <v>6543.3462725596046</v>
      </c>
      <c r="D103" s="2">
        <f t="shared" si="6"/>
        <v>-37.047426928119663</v>
      </c>
      <c r="E103" s="2">
        <f t="shared" si="7"/>
        <v>-21.811154241865349</v>
      </c>
      <c r="F103" s="2">
        <f t="shared" si="8"/>
        <v>-15.236272686254305</v>
      </c>
      <c r="G103" s="2">
        <f t="shared" si="9"/>
        <v>6528.1099998733507</v>
      </c>
    </row>
    <row r="104" spans="2:7" x14ac:dyDescent="0.25">
      <c r="B104">
        <v>95</v>
      </c>
      <c r="C104" s="2">
        <f t="shared" si="10"/>
        <v>6528.1099998733507</v>
      </c>
      <c r="D104" s="2">
        <f t="shared" si="6"/>
        <v>-37.047426928119663</v>
      </c>
      <c r="E104" s="2">
        <f t="shared" si="7"/>
        <v>-21.760366666244504</v>
      </c>
      <c r="F104" s="2">
        <f t="shared" si="8"/>
        <v>-15.287060261875153</v>
      </c>
      <c r="G104" s="2">
        <f t="shared" si="9"/>
        <v>6512.8229396114757</v>
      </c>
    </row>
    <row r="105" spans="2:7" x14ac:dyDescent="0.25">
      <c r="B105">
        <v>96</v>
      </c>
      <c r="C105" s="2">
        <f t="shared" si="10"/>
        <v>6512.8229396114757</v>
      </c>
      <c r="D105" s="2">
        <f t="shared" si="6"/>
        <v>-37.047426928119663</v>
      </c>
      <c r="E105" s="2">
        <f t="shared" si="7"/>
        <v>-21.709409798704922</v>
      </c>
      <c r="F105" s="2">
        <f t="shared" si="8"/>
        <v>-15.338017129414734</v>
      </c>
      <c r="G105" s="2">
        <f t="shared" si="9"/>
        <v>6497.4849224820609</v>
      </c>
    </row>
    <row r="106" spans="2:7" x14ac:dyDescent="0.25">
      <c r="B106">
        <v>97</v>
      </c>
      <c r="C106" s="2">
        <f t="shared" si="10"/>
        <v>6497.4849224820609</v>
      </c>
      <c r="D106" s="2">
        <f t="shared" si="6"/>
        <v>-37.047426928119663</v>
      </c>
      <c r="E106" s="2">
        <f t="shared" si="7"/>
        <v>-21.658283074940201</v>
      </c>
      <c r="F106" s="2">
        <f t="shared" si="8"/>
        <v>-15.38914385317945</v>
      </c>
      <c r="G106" s="2">
        <f t="shared" si="9"/>
        <v>6482.0957786288818</v>
      </c>
    </row>
    <row r="107" spans="2:7" x14ac:dyDescent="0.25">
      <c r="B107">
        <v>98</v>
      </c>
      <c r="C107" s="2">
        <f t="shared" si="10"/>
        <v>6482.0957786288818</v>
      </c>
      <c r="D107" s="2">
        <f t="shared" si="6"/>
        <v>-37.047426928119663</v>
      </c>
      <c r="E107" s="2">
        <f t="shared" si="7"/>
        <v>-21.606985928762946</v>
      </c>
      <c r="F107" s="2">
        <f t="shared" si="8"/>
        <v>-15.440440999356715</v>
      </c>
      <c r="G107" s="2">
        <f t="shared" si="9"/>
        <v>6466.6553376295251</v>
      </c>
    </row>
    <row r="108" spans="2:7" x14ac:dyDescent="0.25">
      <c r="B108">
        <v>99</v>
      </c>
      <c r="C108" s="2">
        <f t="shared" si="10"/>
        <v>6466.6553376295251</v>
      </c>
      <c r="D108" s="2">
        <f t="shared" si="6"/>
        <v>-37.047426928119663</v>
      </c>
      <c r="E108" s="2">
        <f t="shared" si="7"/>
        <v>-21.555517792098421</v>
      </c>
      <c r="F108" s="2">
        <f t="shared" si="8"/>
        <v>-15.491909136021238</v>
      </c>
      <c r="G108" s="2">
        <f t="shared" si="9"/>
        <v>6451.1634284935035</v>
      </c>
    </row>
    <row r="109" spans="2:7" x14ac:dyDescent="0.25">
      <c r="B109">
        <v>100</v>
      </c>
      <c r="C109" s="2">
        <f t="shared" si="10"/>
        <v>6451.1634284935035</v>
      </c>
      <c r="D109" s="2">
        <f t="shared" si="6"/>
        <v>-37.047426928119663</v>
      </c>
      <c r="E109" s="2">
        <f t="shared" si="7"/>
        <v>-21.503878094978351</v>
      </c>
      <c r="F109" s="2">
        <f t="shared" si="8"/>
        <v>-15.54354883314131</v>
      </c>
      <c r="G109" s="2">
        <f t="shared" si="9"/>
        <v>6435.6198796603621</v>
      </c>
    </row>
    <row r="110" spans="2:7" x14ac:dyDescent="0.25">
      <c r="B110">
        <v>101</v>
      </c>
      <c r="C110" s="2">
        <f t="shared" si="10"/>
        <v>6435.6198796603621</v>
      </c>
      <c r="D110" s="2">
        <f t="shared" si="6"/>
        <v>-37.047426928119663</v>
      </c>
      <c r="E110" s="2">
        <f t="shared" si="7"/>
        <v>-21.452066265534548</v>
      </c>
      <c r="F110" s="2">
        <f t="shared" si="8"/>
        <v>-15.595360662585112</v>
      </c>
      <c r="G110" s="2">
        <f t="shared" si="9"/>
        <v>6420.0245189977768</v>
      </c>
    </row>
    <row r="111" spans="2:7" x14ac:dyDescent="0.25">
      <c r="B111">
        <v>102</v>
      </c>
      <c r="C111" s="2">
        <f t="shared" si="10"/>
        <v>6420.0245189977768</v>
      </c>
      <c r="D111" s="2">
        <f t="shared" si="6"/>
        <v>-37.047426928119663</v>
      </c>
      <c r="E111" s="2">
        <f t="shared" si="7"/>
        <v>-21.400081729992593</v>
      </c>
      <c r="F111" s="2">
        <f t="shared" si="8"/>
        <v>-15.647345198127063</v>
      </c>
      <c r="G111" s="2">
        <f t="shared" si="9"/>
        <v>6404.3771737996494</v>
      </c>
    </row>
    <row r="112" spans="2:7" x14ac:dyDescent="0.25">
      <c r="B112">
        <v>103</v>
      </c>
      <c r="C112" s="2">
        <f t="shared" si="10"/>
        <v>6404.3771737996494</v>
      </c>
      <c r="D112" s="2">
        <f t="shared" si="6"/>
        <v>-37.047426928119663</v>
      </c>
      <c r="E112" s="2">
        <f t="shared" si="7"/>
        <v>-21.347923912665504</v>
      </c>
      <c r="F112" s="2">
        <f t="shared" si="8"/>
        <v>-15.699503015454157</v>
      </c>
      <c r="G112" s="2">
        <f t="shared" si="9"/>
        <v>6388.6776707841955</v>
      </c>
    </row>
    <row r="113" spans="2:7" x14ac:dyDescent="0.25">
      <c r="B113">
        <v>104</v>
      </c>
      <c r="C113" s="2">
        <f t="shared" si="10"/>
        <v>6388.6776707841955</v>
      </c>
      <c r="D113" s="2">
        <f t="shared" si="6"/>
        <v>-37.047426928119663</v>
      </c>
      <c r="E113" s="2">
        <f t="shared" si="7"/>
        <v>-21.295592235947321</v>
      </c>
      <c r="F113" s="2">
        <f t="shared" si="8"/>
        <v>-15.751834692172334</v>
      </c>
      <c r="G113" s="2">
        <f t="shared" si="9"/>
        <v>6372.925836092023</v>
      </c>
    </row>
    <row r="114" spans="2:7" x14ac:dyDescent="0.25">
      <c r="B114">
        <v>105</v>
      </c>
      <c r="C114" s="2">
        <f t="shared" si="10"/>
        <v>6372.925836092023</v>
      </c>
      <c r="D114" s="2">
        <f t="shared" si="6"/>
        <v>-37.047426928119663</v>
      </c>
      <c r="E114" s="2">
        <f t="shared" si="7"/>
        <v>-21.243086120306749</v>
      </c>
      <c r="F114" s="2">
        <f t="shared" si="8"/>
        <v>-15.80434080781291</v>
      </c>
      <c r="G114" s="2">
        <f t="shared" si="9"/>
        <v>6357.1214952842101</v>
      </c>
    </row>
    <row r="115" spans="2:7" x14ac:dyDescent="0.25">
      <c r="B115">
        <v>106</v>
      </c>
      <c r="C115" s="2">
        <f t="shared" si="10"/>
        <v>6357.1214952842101</v>
      </c>
      <c r="D115" s="2">
        <f t="shared" si="6"/>
        <v>-37.047426928119663</v>
      </c>
      <c r="E115" s="2">
        <f t="shared" si="7"/>
        <v>-21.190404984280701</v>
      </c>
      <c r="F115" s="2">
        <f t="shared" si="8"/>
        <v>-15.857021943838951</v>
      </c>
      <c r="G115" s="2">
        <f t="shared" si="9"/>
        <v>6341.2644733403713</v>
      </c>
    </row>
    <row r="116" spans="2:7" x14ac:dyDescent="0.25">
      <c r="B116">
        <v>107</v>
      </c>
      <c r="C116" s="2">
        <f t="shared" si="10"/>
        <v>6341.2644733403713</v>
      </c>
      <c r="D116" s="2">
        <f t="shared" si="6"/>
        <v>-37.047426928119663</v>
      </c>
      <c r="E116" s="2">
        <f t="shared" si="7"/>
        <v>-21.137548244467908</v>
      </c>
      <c r="F116" s="2">
        <f t="shared" si="8"/>
        <v>-15.909878683651748</v>
      </c>
      <c r="G116" s="2">
        <f t="shared" si="9"/>
        <v>6325.3545946567192</v>
      </c>
    </row>
    <row r="117" spans="2:7" x14ac:dyDescent="0.25">
      <c r="B117">
        <v>108</v>
      </c>
      <c r="C117" s="2">
        <f t="shared" si="10"/>
        <v>6325.3545946567192</v>
      </c>
      <c r="D117" s="2">
        <f t="shared" si="6"/>
        <v>-37.047426928119663</v>
      </c>
      <c r="E117" s="2">
        <f t="shared" si="7"/>
        <v>-21.084515315522403</v>
      </c>
      <c r="F117" s="2">
        <f t="shared" si="8"/>
        <v>-15.962911612597255</v>
      </c>
      <c r="G117" s="2">
        <f t="shared" si="9"/>
        <v>6309.3916830441221</v>
      </c>
    </row>
    <row r="118" spans="2:7" x14ac:dyDescent="0.25">
      <c r="B118">
        <v>109</v>
      </c>
      <c r="C118" s="2">
        <f t="shared" si="10"/>
        <v>6309.3916830441221</v>
      </c>
      <c r="D118" s="2">
        <f t="shared" si="6"/>
        <v>-37.047426928119663</v>
      </c>
      <c r="E118" s="2">
        <f t="shared" si="7"/>
        <v>-21.031305610147083</v>
      </c>
      <c r="F118" s="2">
        <f t="shared" si="8"/>
        <v>-16.01612131797258</v>
      </c>
      <c r="G118" s="2">
        <f t="shared" si="9"/>
        <v>6293.3755617261495</v>
      </c>
    </row>
    <row r="119" spans="2:7" x14ac:dyDescent="0.25">
      <c r="B119">
        <v>110</v>
      </c>
      <c r="C119" s="2">
        <f t="shared" si="10"/>
        <v>6293.3755617261495</v>
      </c>
      <c r="D119" s="2">
        <f t="shared" si="6"/>
        <v>-37.047426928119663</v>
      </c>
      <c r="E119" s="2">
        <f t="shared" si="7"/>
        <v>-20.97791853908717</v>
      </c>
      <c r="F119" s="2">
        <f t="shared" si="8"/>
        <v>-16.069508389032489</v>
      </c>
      <c r="G119" s="2">
        <f t="shared" si="9"/>
        <v>6277.3060533371172</v>
      </c>
    </row>
    <row r="120" spans="2:7" x14ac:dyDescent="0.25">
      <c r="B120">
        <v>111</v>
      </c>
      <c r="C120" s="2">
        <f t="shared" si="10"/>
        <v>6277.3060533371172</v>
      </c>
      <c r="D120" s="2">
        <f t="shared" si="6"/>
        <v>-37.047426928119663</v>
      </c>
      <c r="E120" s="2">
        <f t="shared" si="7"/>
        <v>-20.92435351112373</v>
      </c>
      <c r="F120" s="2">
        <f t="shared" si="8"/>
        <v>-16.123073416995929</v>
      </c>
      <c r="G120" s="2">
        <f t="shared" si="9"/>
        <v>6261.1829799201214</v>
      </c>
    </row>
    <row r="121" spans="2:7" x14ac:dyDescent="0.25">
      <c r="B121">
        <v>112</v>
      </c>
      <c r="C121" s="2">
        <f t="shared" si="10"/>
        <v>6261.1829799201214</v>
      </c>
      <c r="D121" s="2">
        <f t="shared" si="6"/>
        <v>-37.047426928119663</v>
      </c>
      <c r="E121" s="2">
        <f t="shared" si="7"/>
        <v>-20.870609933067072</v>
      </c>
      <c r="F121" s="2">
        <f t="shared" si="8"/>
        <v>-16.17681699505258</v>
      </c>
      <c r="G121" s="2">
        <f t="shared" si="9"/>
        <v>6245.0061629250686</v>
      </c>
    </row>
    <row r="122" spans="2:7" x14ac:dyDescent="0.25">
      <c r="B122">
        <v>113</v>
      </c>
      <c r="C122" s="2">
        <f t="shared" si="10"/>
        <v>6245.0061629250686</v>
      </c>
      <c r="D122" s="2">
        <f t="shared" si="6"/>
        <v>-37.047426928119663</v>
      </c>
      <c r="E122" s="2">
        <f t="shared" si="7"/>
        <v>-20.816687209750235</v>
      </c>
      <c r="F122" s="2">
        <f t="shared" si="8"/>
        <v>-16.230739718369424</v>
      </c>
      <c r="G122" s="2">
        <f t="shared" si="9"/>
        <v>6228.7754232066991</v>
      </c>
    </row>
    <row r="123" spans="2:7" x14ac:dyDescent="0.25">
      <c r="B123">
        <v>114</v>
      </c>
      <c r="C123" s="2">
        <f t="shared" si="10"/>
        <v>6228.7754232066991</v>
      </c>
      <c r="D123" s="2">
        <f t="shared" si="6"/>
        <v>-37.047426928119663</v>
      </c>
      <c r="E123" s="2">
        <f t="shared" si="7"/>
        <v>-20.762584744022337</v>
      </c>
      <c r="F123" s="2">
        <f t="shared" si="8"/>
        <v>-16.284842184097322</v>
      </c>
      <c r="G123" s="2">
        <f t="shared" si="9"/>
        <v>6212.4905810226019</v>
      </c>
    </row>
    <row r="124" spans="2:7" x14ac:dyDescent="0.25">
      <c r="B124">
        <v>115</v>
      </c>
      <c r="C124" s="2">
        <f t="shared" si="10"/>
        <v>6212.4905810226019</v>
      </c>
      <c r="D124" s="2">
        <f t="shared" si="6"/>
        <v>-37.047426928119663</v>
      </c>
      <c r="E124" s="2">
        <f t="shared" si="7"/>
        <v>-20.708301936742014</v>
      </c>
      <c r="F124" s="2">
        <f t="shared" si="8"/>
        <v>-16.339124991377645</v>
      </c>
      <c r="G124" s="2">
        <f t="shared" si="9"/>
        <v>6196.1514560312244</v>
      </c>
    </row>
    <row r="125" spans="2:7" x14ac:dyDescent="0.25">
      <c r="B125">
        <v>116</v>
      </c>
      <c r="C125" s="2">
        <f t="shared" si="10"/>
        <v>6196.1514560312244</v>
      </c>
      <c r="D125" s="2">
        <f t="shared" si="6"/>
        <v>-37.047426928119663</v>
      </c>
      <c r="E125" s="2">
        <f t="shared" si="7"/>
        <v>-20.653838186770756</v>
      </c>
      <c r="F125" s="2">
        <f t="shared" si="8"/>
        <v>-16.393588741348903</v>
      </c>
      <c r="G125" s="2">
        <f t="shared" si="9"/>
        <v>6179.7578672898753</v>
      </c>
    </row>
    <row r="126" spans="2:7" x14ac:dyDescent="0.25">
      <c r="B126">
        <v>117</v>
      </c>
      <c r="C126" s="2">
        <f t="shared" si="10"/>
        <v>6179.7578672898753</v>
      </c>
      <c r="D126" s="2">
        <f t="shared" si="6"/>
        <v>-37.047426928119663</v>
      </c>
      <c r="E126" s="2">
        <f t="shared" si="7"/>
        <v>-20.599192890966258</v>
      </c>
      <c r="F126" s="2">
        <f t="shared" si="8"/>
        <v>-16.448234037153401</v>
      </c>
      <c r="G126" s="2">
        <f t="shared" si="9"/>
        <v>6163.3096332527221</v>
      </c>
    </row>
    <row r="127" spans="2:7" x14ac:dyDescent="0.25">
      <c r="B127">
        <v>118</v>
      </c>
      <c r="C127" s="2">
        <f t="shared" si="10"/>
        <v>6163.3096332527221</v>
      </c>
      <c r="D127" s="2">
        <f t="shared" si="6"/>
        <v>-37.047426928119663</v>
      </c>
      <c r="E127" s="2">
        <f t="shared" si="7"/>
        <v>-20.544365444175746</v>
      </c>
      <c r="F127" s="2">
        <f t="shared" si="8"/>
        <v>-16.503061483943913</v>
      </c>
      <c r="G127" s="2">
        <f t="shared" si="9"/>
        <v>6146.8065717687778</v>
      </c>
    </row>
    <row r="128" spans="2:7" x14ac:dyDescent="0.25">
      <c r="B128">
        <v>119</v>
      </c>
      <c r="C128" s="2">
        <f t="shared" si="10"/>
        <v>6146.8065717687778</v>
      </c>
      <c r="D128" s="2">
        <f t="shared" si="6"/>
        <v>-37.047426928119663</v>
      </c>
      <c r="E128" s="2">
        <f t="shared" si="7"/>
        <v>-20.489355239229262</v>
      </c>
      <c r="F128" s="2">
        <f t="shared" si="8"/>
        <v>-16.55807168889039</v>
      </c>
      <c r="G128" s="2">
        <f t="shared" si="9"/>
        <v>6130.248500079887</v>
      </c>
    </row>
    <row r="129" spans="2:7" x14ac:dyDescent="0.25">
      <c r="B129">
        <v>120</v>
      </c>
      <c r="C129" s="2">
        <f t="shared" si="10"/>
        <v>6130.248500079887</v>
      </c>
      <c r="D129" s="2">
        <f t="shared" si="6"/>
        <v>-37.047426928119663</v>
      </c>
      <c r="E129" s="2">
        <f t="shared" si="7"/>
        <v>-20.434161666932965</v>
      </c>
      <c r="F129" s="2">
        <f t="shared" si="8"/>
        <v>-16.613265261186697</v>
      </c>
      <c r="G129" s="2">
        <f t="shared" si="9"/>
        <v>6113.6352348187002</v>
      </c>
    </row>
    <row r="130" spans="2:7" x14ac:dyDescent="0.25">
      <c r="B130">
        <v>121</v>
      </c>
      <c r="C130" s="2">
        <f t="shared" si="10"/>
        <v>6113.6352348187002</v>
      </c>
      <c r="D130" s="2">
        <f t="shared" si="6"/>
        <v>-37.047426928119663</v>
      </c>
      <c r="E130" s="2">
        <f t="shared" si="7"/>
        <v>-20.378784116062342</v>
      </c>
      <c r="F130" s="2">
        <f t="shared" si="8"/>
        <v>-16.668642812057318</v>
      </c>
      <c r="G130" s="2">
        <f t="shared" si="9"/>
        <v>6096.9665920066427</v>
      </c>
    </row>
    <row r="131" spans="2:7" x14ac:dyDescent="0.25">
      <c r="B131">
        <v>122</v>
      </c>
      <c r="C131" s="2">
        <f t="shared" si="10"/>
        <v>6096.9665920066427</v>
      </c>
      <c r="D131" s="2">
        <f t="shared" si="6"/>
        <v>-37.047426928119663</v>
      </c>
      <c r="E131" s="2">
        <f t="shared" si="7"/>
        <v>-20.323221973355484</v>
      </c>
      <c r="F131" s="2">
        <f t="shared" si="8"/>
        <v>-16.724204954764176</v>
      </c>
      <c r="G131" s="2">
        <f t="shared" si="9"/>
        <v>6080.2423870518787</v>
      </c>
    </row>
    <row r="132" spans="2:7" x14ac:dyDescent="0.25">
      <c r="B132">
        <v>123</v>
      </c>
      <c r="C132" s="2">
        <f t="shared" si="10"/>
        <v>6080.2423870518787</v>
      </c>
      <c r="D132" s="2">
        <f t="shared" si="6"/>
        <v>-37.047426928119663</v>
      </c>
      <c r="E132" s="2">
        <f t="shared" si="7"/>
        <v>-20.267474623506278</v>
      </c>
      <c r="F132" s="2">
        <f t="shared" si="8"/>
        <v>-16.779952304613388</v>
      </c>
      <c r="G132" s="2">
        <f t="shared" si="9"/>
        <v>6063.4624347472654</v>
      </c>
    </row>
    <row r="133" spans="2:7" x14ac:dyDescent="0.25">
      <c r="B133">
        <v>124</v>
      </c>
      <c r="C133" s="2">
        <f t="shared" si="10"/>
        <v>6063.4624347472654</v>
      </c>
      <c r="D133" s="2">
        <f t="shared" si="6"/>
        <v>-37.047426928119663</v>
      </c>
      <c r="E133" s="2">
        <f t="shared" si="7"/>
        <v>-20.211541449157558</v>
      </c>
      <c r="F133" s="2">
        <f t="shared" si="8"/>
        <v>-16.835885478962101</v>
      </c>
      <c r="G133" s="2">
        <f t="shared" si="9"/>
        <v>6046.6265492683033</v>
      </c>
    </row>
    <row r="134" spans="2:7" x14ac:dyDescent="0.25">
      <c r="B134">
        <v>125</v>
      </c>
      <c r="C134" s="2">
        <f t="shared" si="10"/>
        <v>6046.6265492683033</v>
      </c>
      <c r="D134" s="2">
        <f t="shared" si="6"/>
        <v>-37.047426928119663</v>
      </c>
      <c r="E134" s="2">
        <f t="shared" si="7"/>
        <v>-20.155421830894355</v>
      </c>
      <c r="F134" s="2">
        <f t="shared" si="8"/>
        <v>-16.892005097225304</v>
      </c>
      <c r="G134" s="2">
        <f t="shared" si="9"/>
        <v>6029.7345441710777</v>
      </c>
    </row>
    <row r="135" spans="2:7" x14ac:dyDescent="0.25">
      <c r="B135">
        <v>126</v>
      </c>
      <c r="C135" s="2">
        <f t="shared" si="10"/>
        <v>6029.7345441710777</v>
      </c>
      <c r="D135" s="2">
        <f t="shared" si="6"/>
        <v>-37.047426928119663</v>
      </c>
      <c r="E135" s="2">
        <f t="shared" si="7"/>
        <v>-20.09911514723694</v>
      </c>
      <c r="F135" s="2">
        <f t="shared" si="8"/>
        <v>-16.948311780882726</v>
      </c>
      <c r="G135" s="2">
        <f t="shared" si="9"/>
        <v>6012.7862323901945</v>
      </c>
    </row>
    <row r="136" spans="2:7" x14ac:dyDescent="0.25">
      <c r="B136">
        <v>127</v>
      </c>
      <c r="C136" s="2">
        <f t="shared" si="10"/>
        <v>6012.7862323901945</v>
      </c>
      <c r="D136" s="2">
        <f t="shared" si="6"/>
        <v>-37.047426928119663</v>
      </c>
      <c r="E136" s="2">
        <f t="shared" si="7"/>
        <v>-20.042620774633995</v>
      </c>
      <c r="F136" s="2">
        <f t="shared" si="8"/>
        <v>-17.004806153485664</v>
      </c>
      <c r="G136" s="2">
        <f t="shared" si="9"/>
        <v>5995.7814262367092</v>
      </c>
    </row>
    <row r="137" spans="2:7" x14ac:dyDescent="0.25">
      <c r="B137">
        <v>128</v>
      </c>
      <c r="C137" s="2">
        <f t="shared" si="10"/>
        <v>5995.7814262367092</v>
      </c>
      <c r="D137" s="2">
        <f t="shared" si="6"/>
        <v>-37.047426928119663</v>
      </c>
      <c r="E137" s="2">
        <f t="shared" si="7"/>
        <v>-19.985938087455708</v>
      </c>
      <c r="F137" s="2">
        <f t="shared" si="8"/>
        <v>-17.061488840663952</v>
      </c>
      <c r="G137" s="2">
        <f t="shared" si="9"/>
        <v>5978.7199373960457</v>
      </c>
    </row>
    <row r="138" spans="2:7" x14ac:dyDescent="0.25">
      <c r="B138">
        <v>129</v>
      </c>
      <c r="C138" s="2">
        <f t="shared" si="10"/>
        <v>5978.7199373960457</v>
      </c>
      <c r="D138" s="2">
        <f t="shared" si="6"/>
        <v>-37.047426928119663</v>
      </c>
      <c r="E138" s="2">
        <f t="shared" si="7"/>
        <v>-19.929066457986828</v>
      </c>
      <c r="F138" s="2">
        <f t="shared" si="8"/>
        <v>-17.118360470132835</v>
      </c>
      <c r="G138" s="2">
        <f t="shared" si="9"/>
        <v>5961.6015769259129</v>
      </c>
    </row>
    <row r="139" spans="2:7" x14ac:dyDescent="0.25">
      <c r="B139">
        <v>130</v>
      </c>
      <c r="C139" s="2">
        <f t="shared" si="10"/>
        <v>5961.6015769259129</v>
      </c>
      <c r="D139" s="2">
        <f t="shared" ref="D139:D202" si="11">PMT($D$4/12,$D$5*12,$D$3)</f>
        <v>-37.047426928119663</v>
      </c>
      <c r="E139" s="2">
        <f t="shared" ref="E139:E202" si="12">IPMT($D$4/12,B139,$D$5*12,$D$3)</f>
        <v>-19.872005256419719</v>
      </c>
      <c r="F139" s="2">
        <f t="shared" ref="F139:F202" si="13">PPMT($D$4/12,B139,$D$5*12,$D$3)</f>
        <v>-17.17542167169994</v>
      </c>
      <c r="G139" s="2">
        <f t="shared" ref="G139:G202" si="14">F139+C139</f>
        <v>5944.426155254213</v>
      </c>
    </row>
    <row r="140" spans="2:7" x14ac:dyDescent="0.25">
      <c r="B140">
        <v>131</v>
      </c>
      <c r="C140" s="2">
        <f t="shared" ref="C140:C203" si="15">G139</f>
        <v>5944.426155254213</v>
      </c>
      <c r="D140" s="2">
        <f t="shared" si="11"/>
        <v>-37.047426928119663</v>
      </c>
      <c r="E140" s="2">
        <f t="shared" si="12"/>
        <v>-19.814753850847389</v>
      </c>
      <c r="F140" s="2">
        <f t="shared" si="13"/>
        <v>-17.232673077272274</v>
      </c>
      <c r="G140" s="2">
        <f t="shared" si="14"/>
        <v>5927.193482176941</v>
      </c>
    </row>
    <row r="141" spans="2:7" x14ac:dyDescent="0.25">
      <c r="B141">
        <v>132</v>
      </c>
      <c r="C141" s="2">
        <f t="shared" si="15"/>
        <v>5927.193482176941</v>
      </c>
      <c r="D141" s="2">
        <f t="shared" si="11"/>
        <v>-37.047426928119663</v>
      </c>
      <c r="E141" s="2">
        <f t="shared" si="12"/>
        <v>-19.757311607256476</v>
      </c>
      <c r="F141" s="2">
        <f t="shared" si="13"/>
        <v>-17.290115320863183</v>
      </c>
      <c r="G141" s="2">
        <f t="shared" si="14"/>
        <v>5909.9033668560778</v>
      </c>
    </row>
    <row r="142" spans="2:7" x14ac:dyDescent="0.25">
      <c r="B142">
        <v>133</v>
      </c>
      <c r="C142" s="2">
        <f t="shared" si="15"/>
        <v>5909.9033668560778</v>
      </c>
      <c r="D142" s="2">
        <f t="shared" si="11"/>
        <v>-37.047426928119663</v>
      </c>
      <c r="E142" s="2">
        <f t="shared" si="12"/>
        <v>-19.699677889520267</v>
      </c>
      <c r="F142" s="2">
        <f t="shared" si="13"/>
        <v>-17.347749038599392</v>
      </c>
      <c r="G142" s="2">
        <f t="shared" si="14"/>
        <v>5892.5556178174784</v>
      </c>
    </row>
    <row r="143" spans="2:7" x14ac:dyDescent="0.25">
      <c r="B143">
        <v>134</v>
      </c>
      <c r="C143" s="2">
        <f t="shared" si="15"/>
        <v>5892.5556178174784</v>
      </c>
      <c r="D143" s="2">
        <f t="shared" si="11"/>
        <v>-37.047426928119663</v>
      </c>
      <c r="E143" s="2">
        <f t="shared" si="12"/>
        <v>-19.641852059391606</v>
      </c>
      <c r="F143" s="2">
        <f t="shared" si="13"/>
        <v>-17.405574868728056</v>
      </c>
      <c r="G143" s="2">
        <f t="shared" si="14"/>
        <v>5875.1500429487505</v>
      </c>
    </row>
    <row r="144" spans="2:7" x14ac:dyDescent="0.25">
      <c r="B144">
        <v>135</v>
      </c>
      <c r="C144" s="2">
        <f t="shared" si="15"/>
        <v>5875.1500429487505</v>
      </c>
      <c r="D144" s="2">
        <f t="shared" si="11"/>
        <v>-37.047426928119663</v>
      </c>
      <c r="E144" s="2">
        <f t="shared" si="12"/>
        <v>-19.583833476495844</v>
      </c>
      <c r="F144" s="2">
        <f t="shared" si="13"/>
        <v>-17.463593451623819</v>
      </c>
      <c r="G144" s="2">
        <f t="shared" si="14"/>
        <v>5857.6864494971269</v>
      </c>
    </row>
    <row r="145" spans="2:7" x14ac:dyDescent="0.25">
      <c r="B145">
        <v>136</v>
      </c>
      <c r="C145" s="2">
        <f t="shared" si="15"/>
        <v>5857.6864494971269</v>
      </c>
      <c r="D145" s="2">
        <f t="shared" si="11"/>
        <v>-37.047426928119663</v>
      </c>
      <c r="E145" s="2">
        <f t="shared" si="12"/>
        <v>-19.525621498323762</v>
      </c>
      <c r="F145" s="2">
        <f t="shared" si="13"/>
        <v>-17.521805429795897</v>
      </c>
      <c r="G145" s="2">
        <f t="shared" si="14"/>
        <v>5840.1646440673312</v>
      </c>
    </row>
    <row r="146" spans="2:7" x14ac:dyDescent="0.25">
      <c r="B146">
        <v>137</v>
      </c>
      <c r="C146" s="2">
        <f t="shared" si="15"/>
        <v>5840.1646440673312</v>
      </c>
      <c r="D146" s="2">
        <f t="shared" si="11"/>
        <v>-37.047426928119663</v>
      </c>
      <c r="E146" s="2">
        <f t="shared" si="12"/>
        <v>-19.467215480224443</v>
      </c>
      <c r="F146" s="2">
        <f t="shared" si="13"/>
        <v>-17.58021144789522</v>
      </c>
      <c r="G146" s="2">
        <f t="shared" si="14"/>
        <v>5822.5844326194356</v>
      </c>
    </row>
    <row r="147" spans="2:7" x14ac:dyDescent="0.25">
      <c r="B147">
        <v>138</v>
      </c>
      <c r="C147" s="2">
        <f t="shared" si="15"/>
        <v>5822.5844326194356</v>
      </c>
      <c r="D147" s="2">
        <f t="shared" si="11"/>
        <v>-37.047426928119663</v>
      </c>
      <c r="E147" s="2">
        <f t="shared" si="12"/>
        <v>-19.408614775398124</v>
      </c>
      <c r="F147" s="2">
        <f t="shared" si="13"/>
        <v>-17.638812152721535</v>
      </c>
      <c r="G147" s="2">
        <f t="shared" si="14"/>
        <v>5804.945620466714</v>
      </c>
    </row>
    <row r="148" spans="2:7" x14ac:dyDescent="0.25">
      <c r="B148">
        <v>139</v>
      </c>
      <c r="C148" s="2">
        <f t="shared" si="15"/>
        <v>5804.945620466714</v>
      </c>
      <c r="D148" s="2">
        <f t="shared" si="11"/>
        <v>-37.047426928119663</v>
      </c>
      <c r="E148" s="2">
        <f t="shared" si="12"/>
        <v>-19.349818734889055</v>
      </c>
      <c r="F148" s="2">
        <f t="shared" si="13"/>
        <v>-17.697608193230607</v>
      </c>
      <c r="G148" s="2">
        <f t="shared" si="14"/>
        <v>5787.2480122734833</v>
      </c>
    </row>
    <row r="149" spans="2:7" x14ac:dyDescent="0.25">
      <c r="B149">
        <v>140</v>
      </c>
      <c r="C149" s="2">
        <f t="shared" si="15"/>
        <v>5787.2480122734833</v>
      </c>
      <c r="D149" s="2">
        <f t="shared" si="11"/>
        <v>-37.047426928119663</v>
      </c>
      <c r="E149" s="2">
        <f t="shared" si="12"/>
        <v>-19.290826707578283</v>
      </c>
      <c r="F149" s="2">
        <f t="shared" si="13"/>
        <v>-17.756600220541376</v>
      </c>
      <c r="G149" s="2">
        <f t="shared" si="14"/>
        <v>5769.491412052942</v>
      </c>
    </row>
    <row r="150" spans="2:7" x14ac:dyDescent="0.25">
      <c r="B150">
        <v>141</v>
      </c>
      <c r="C150" s="2">
        <f t="shared" si="15"/>
        <v>5769.491412052942</v>
      </c>
      <c r="D150" s="2">
        <f t="shared" si="11"/>
        <v>-37.047426928119663</v>
      </c>
      <c r="E150" s="2">
        <f t="shared" si="12"/>
        <v>-19.231638040176485</v>
      </c>
      <c r="F150" s="2">
        <f t="shared" si="13"/>
        <v>-17.815788887943182</v>
      </c>
      <c r="G150" s="2">
        <f t="shared" si="14"/>
        <v>5751.6756231649988</v>
      </c>
    </row>
    <row r="151" spans="2:7" x14ac:dyDescent="0.25">
      <c r="B151">
        <v>142</v>
      </c>
      <c r="C151" s="2">
        <f t="shared" si="15"/>
        <v>5751.6756231649988</v>
      </c>
      <c r="D151" s="2">
        <f t="shared" si="11"/>
        <v>-37.047426928119663</v>
      </c>
      <c r="E151" s="2">
        <f t="shared" si="12"/>
        <v>-19.172252077216669</v>
      </c>
      <c r="F151" s="2">
        <f t="shared" si="13"/>
        <v>-17.87517485090299</v>
      </c>
      <c r="G151" s="2">
        <f t="shared" si="14"/>
        <v>5733.8004483140958</v>
      </c>
    </row>
    <row r="152" spans="2:7" x14ac:dyDescent="0.25">
      <c r="B152">
        <v>143</v>
      </c>
      <c r="C152" s="2">
        <f t="shared" si="15"/>
        <v>5733.8004483140958</v>
      </c>
      <c r="D152" s="2">
        <f t="shared" si="11"/>
        <v>-37.047426928119663</v>
      </c>
      <c r="E152" s="2">
        <f t="shared" si="12"/>
        <v>-19.112668161046994</v>
      </c>
      <c r="F152" s="2">
        <f t="shared" si="13"/>
        <v>-17.934758767072665</v>
      </c>
      <c r="G152" s="2">
        <f t="shared" si="14"/>
        <v>5715.8656895470231</v>
      </c>
    </row>
    <row r="153" spans="2:7" x14ac:dyDescent="0.25">
      <c r="B153">
        <v>144</v>
      </c>
      <c r="C153" s="2">
        <f t="shared" si="15"/>
        <v>5715.8656895470231</v>
      </c>
      <c r="D153" s="2">
        <f t="shared" si="11"/>
        <v>-37.047426928119663</v>
      </c>
      <c r="E153" s="2">
        <f t="shared" si="12"/>
        <v>-19.052885631823418</v>
      </c>
      <c r="F153" s="2">
        <f t="shared" si="13"/>
        <v>-17.994541296296241</v>
      </c>
      <c r="G153" s="2">
        <f t="shared" si="14"/>
        <v>5697.8711482507269</v>
      </c>
    </row>
    <row r="154" spans="2:7" x14ac:dyDescent="0.25">
      <c r="B154">
        <v>145</v>
      </c>
      <c r="C154" s="2">
        <f t="shared" si="15"/>
        <v>5697.8711482507269</v>
      </c>
      <c r="D154" s="2">
        <f t="shared" si="11"/>
        <v>-37.047426928119663</v>
      </c>
      <c r="E154" s="2">
        <f t="shared" si="12"/>
        <v>-18.992903827502435</v>
      </c>
      <c r="F154" s="2">
        <f t="shared" si="13"/>
        <v>-18.054523100617228</v>
      </c>
      <c r="G154" s="2">
        <f t="shared" si="14"/>
        <v>5679.8166251501098</v>
      </c>
    </row>
    <row r="155" spans="2:7" x14ac:dyDescent="0.25">
      <c r="B155">
        <v>146</v>
      </c>
      <c r="C155" s="2">
        <f t="shared" si="15"/>
        <v>5679.8166251501098</v>
      </c>
      <c r="D155" s="2">
        <f t="shared" si="11"/>
        <v>-37.047426928119663</v>
      </c>
      <c r="E155" s="2">
        <f t="shared" si="12"/>
        <v>-18.93272208383371</v>
      </c>
      <c r="F155" s="2">
        <f t="shared" si="13"/>
        <v>-18.114704844285953</v>
      </c>
      <c r="G155" s="2">
        <f t="shared" si="14"/>
        <v>5661.7019203058235</v>
      </c>
    </row>
    <row r="156" spans="2:7" x14ac:dyDescent="0.25">
      <c r="B156">
        <v>147</v>
      </c>
      <c r="C156" s="2">
        <f t="shared" si="15"/>
        <v>5661.7019203058235</v>
      </c>
      <c r="D156" s="2">
        <f t="shared" si="11"/>
        <v>-37.047426928119663</v>
      </c>
      <c r="E156" s="2">
        <f t="shared" si="12"/>
        <v>-18.872339734352753</v>
      </c>
      <c r="F156" s="2">
        <f t="shared" si="13"/>
        <v>-18.175087193766906</v>
      </c>
      <c r="G156" s="2">
        <f t="shared" si="14"/>
        <v>5643.5268331120569</v>
      </c>
    </row>
    <row r="157" spans="2:7" x14ac:dyDescent="0.25">
      <c r="B157">
        <v>148</v>
      </c>
      <c r="C157" s="2">
        <f t="shared" si="15"/>
        <v>5643.5268331120569</v>
      </c>
      <c r="D157" s="2">
        <f t="shared" si="11"/>
        <v>-37.047426928119663</v>
      </c>
      <c r="E157" s="2">
        <f t="shared" si="12"/>
        <v>-18.811756110373526</v>
      </c>
      <c r="F157" s="2">
        <f t="shared" si="13"/>
        <v>-18.235670817746133</v>
      </c>
      <c r="G157" s="2">
        <f t="shared" si="14"/>
        <v>5625.2911622943111</v>
      </c>
    </row>
    <row r="158" spans="2:7" x14ac:dyDescent="0.25">
      <c r="B158">
        <v>149</v>
      </c>
      <c r="C158" s="2">
        <f t="shared" si="15"/>
        <v>5625.2911622943111</v>
      </c>
      <c r="D158" s="2">
        <f t="shared" si="11"/>
        <v>-37.047426928119663</v>
      </c>
      <c r="E158" s="2">
        <f t="shared" si="12"/>
        <v>-18.750970540981044</v>
      </c>
      <c r="F158" s="2">
        <f t="shared" si="13"/>
        <v>-18.296456387138615</v>
      </c>
      <c r="G158" s="2">
        <f t="shared" si="14"/>
        <v>5606.9947059071728</v>
      </c>
    </row>
    <row r="159" spans="2:7" x14ac:dyDescent="0.25">
      <c r="B159">
        <v>150</v>
      </c>
      <c r="C159" s="2">
        <f t="shared" si="15"/>
        <v>5606.9947059071728</v>
      </c>
      <c r="D159" s="2">
        <f t="shared" si="11"/>
        <v>-37.047426928119663</v>
      </c>
      <c r="E159" s="2">
        <f t="shared" si="12"/>
        <v>-18.689982353023915</v>
      </c>
      <c r="F159" s="2">
        <f t="shared" si="13"/>
        <v>-18.357444575095748</v>
      </c>
      <c r="G159" s="2">
        <f t="shared" si="14"/>
        <v>5588.6372613320773</v>
      </c>
    </row>
    <row r="160" spans="2:7" x14ac:dyDescent="0.25">
      <c r="B160">
        <v>151</v>
      </c>
      <c r="C160" s="2">
        <f t="shared" si="15"/>
        <v>5588.6372613320773</v>
      </c>
      <c r="D160" s="2">
        <f t="shared" si="11"/>
        <v>-37.047426928119663</v>
      </c>
      <c r="E160" s="2">
        <f t="shared" si="12"/>
        <v>-18.628790871106933</v>
      </c>
      <c r="F160" s="2">
        <f t="shared" si="13"/>
        <v>-18.41863605701273</v>
      </c>
      <c r="G160" s="2">
        <f t="shared" si="14"/>
        <v>5570.2186252750644</v>
      </c>
    </row>
    <row r="161" spans="2:7" x14ac:dyDescent="0.25">
      <c r="B161">
        <v>152</v>
      </c>
      <c r="C161" s="2">
        <f t="shared" si="15"/>
        <v>5570.2186252750644</v>
      </c>
      <c r="D161" s="2">
        <f t="shared" si="11"/>
        <v>-37.047426928119663</v>
      </c>
      <c r="E161" s="2">
        <f t="shared" si="12"/>
        <v>-18.567395417583548</v>
      </c>
      <c r="F161" s="2">
        <f t="shared" si="13"/>
        <v>-18.480031510536108</v>
      </c>
      <c r="G161" s="2">
        <f t="shared" si="14"/>
        <v>5551.7385937645286</v>
      </c>
    </row>
    <row r="162" spans="2:7" x14ac:dyDescent="0.25">
      <c r="B162">
        <v>153</v>
      </c>
      <c r="C162" s="2">
        <f t="shared" si="15"/>
        <v>5551.7385937645286</v>
      </c>
      <c r="D162" s="2">
        <f t="shared" si="11"/>
        <v>-37.047426928119663</v>
      </c>
      <c r="E162" s="2">
        <f t="shared" si="12"/>
        <v>-18.505795312548432</v>
      </c>
      <c r="F162" s="2">
        <f t="shared" si="13"/>
        <v>-18.541631615571227</v>
      </c>
      <c r="G162" s="2">
        <f t="shared" si="14"/>
        <v>5533.196962148957</v>
      </c>
    </row>
    <row r="163" spans="2:7" x14ac:dyDescent="0.25">
      <c r="B163">
        <v>154</v>
      </c>
      <c r="C163" s="2">
        <f t="shared" si="15"/>
        <v>5533.196962148957</v>
      </c>
      <c r="D163" s="2">
        <f t="shared" si="11"/>
        <v>-37.047426928119663</v>
      </c>
      <c r="E163" s="2">
        <f t="shared" si="12"/>
        <v>-18.44398987382986</v>
      </c>
      <c r="F163" s="2">
        <f t="shared" si="13"/>
        <v>-18.603437054289799</v>
      </c>
      <c r="G163" s="2">
        <f t="shared" si="14"/>
        <v>5514.5935250946668</v>
      </c>
    </row>
    <row r="164" spans="2:7" x14ac:dyDescent="0.25">
      <c r="B164">
        <v>155</v>
      </c>
      <c r="C164" s="2">
        <f t="shared" si="15"/>
        <v>5514.5935250946668</v>
      </c>
      <c r="D164" s="2">
        <f t="shared" si="11"/>
        <v>-37.047426928119663</v>
      </c>
      <c r="E164" s="2">
        <f t="shared" si="12"/>
        <v>-18.381978416982228</v>
      </c>
      <c r="F164" s="2">
        <f t="shared" si="13"/>
        <v>-18.665448511137431</v>
      </c>
      <c r="G164" s="2">
        <f t="shared" si="14"/>
        <v>5495.9280765835292</v>
      </c>
    </row>
    <row r="165" spans="2:7" x14ac:dyDescent="0.25">
      <c r="B165">
        <v>156</v>
      </c>
      <c r="C165" s="2">
        <f t="shared" si="15"/>
        <v>5495.9280765835292</v>
      </c>
      <c r="D165" s="2">
        <f t="shared" si="11"/>
        <v>-37.047426928119663</v>
      </c>
      <c r="E165" s="2">
        <f t="shared" si="12"/>
        <v>-18.319760255278439</v>
      </c>
      <c r="F165" s="2">
        <f t="shared" si="13"/>
        <v>-18.72766667284122</v>
      </c>
      <c r="G165" s="2">
        <f t="shared" si="14"/>
        <v>5477.200409910688</v>
      </c>
    </row>
    <row r="166" spans="2:7" x14ac:dyDescent="0.25">
      <c r="B166">
        <v>157</v>
      </c>
      <c r="C166" s="2">
        <f t="shared" si="15"/>
        <v>5477.200409910688</v>
      </c>
      <c r="D166" s="2">
        <f t="shared" si="11"/>
        <v>-37.047426928119663</v>
      </c>
      <c r="E166" s="2">
        <f t="shared" si="12"/>
        <v>-18.257334699702305</v>
      </c>
      <c r="F166" s="2">
        <f t="shared" si="13"/>
        <v>-18.790092228417361</v>
      </c>
      <c r="G166" s="2">
        <f t="shared" si="14"/>
        <v>5458.4103176822709</v>
      </c>
    </row>
    <row r="167" spans="2:7" x14ac:dyDescent="0.25">
      <c r="B167">
        <v>158</v>
      </c>
      <c r="C167" s="2">
        <f t="shared" si="15"/>
        <v>5458.4103176822709</v>
      </c>
      <c r="D167" s="2">
        <f t="shared" si="11"/>
        <v>-37.047426928119663</v>
      </c>
      <c r="E167" s="2">
        <f t="shared" si="12"/>
        <v>-18.194701058940911</v>
      </c>
      <c r="F167" s="2">
        <f t="shared" si="13"/>
        <v>-18.852725869178748</v>
      </c>
      <c r="G167" s="2">
        <f t="shared" si="14"/>
        <v>5439.5575918130926</v>
      </c>
    </row>
    <row r="168" spans="2:7" x14ac:dyDescent="0.25">
      <c r="B168">
        <v>159</v>
      </c>
      <c r="C168" s="2">
        <f t="shared" si="15"/>
        <v>5439.5575918130926</v>
      </c>
      <c r="D168" s="2">
        <f t="shared" si="11"/>
        <v>-37.047426928119663</v>
      </c>
      <c r="E168" s="2">
        <f t="shared" si="12"/>
        <v>-18.131858639376983</v>
      </c>
      <c r="F168" s="2">
        <f t="shared" si="13"/>
        <v>-18.91556828874268</v>
      </c>
      <c r="G168" s="2">
        <f t="shared" si="14"/>
        <v>5420.6420235243495</v>
      </c>
    </row>
    <row r="169" spans="2:7" x14ac:dyDescent="0.25">
      <c r="B169">
        <v>160</v>
      </c>
      <c r="C169" s="2">
        <f t="shared" si="15"/>
        <v>5420.6420235243495</v>
      </c>
      <c r="D169" s="2">
        <f t="shared" si="11"/>
        <v>-37.047426928119663</v>
      </c>
      <c r="E169" s="2">
        <f t="shared" si="12"/>
        <v>-18.068806745081172</v>
      </c>
      <c r="F169" s="2">
        <f t="shared" si="13"/>
        <v>-18.97862018303849</v>
      </c>
      <c r="G169" s="2">
        <f t="shared" si="14"/>
        <v>5401.6634033413111</v>
      </c>
    </row>
    <row r="170" spans="2:7" x14ac:dyDescent="0.25">
      <c r="B170">
        <v>161</v>
      </c>
      <c r="C170" s="2">
        <f t="shared" si="15"/>
        <v>5401.6634033413111</v>
      </c>
      <c r="D170" s="2">
        <f t="shared" si="11"/>
        <v>-37.047426928119663</v>
      </c>
      <c r="E170" s="2">
        <f t="shared" si="12"/>
        <v>-18.005544677804377</v>
      </c>
      <c r="F170" s="2">
        <f t="shared" si="13"/>
        <v>-19.041882250315282</v>
      </c>
      <c r="G170" s="2">
        <f t="shared" si="14"/>
        <v>5382.6215210909959</v>
      </c>
    </row>
    <row r="171" spans="2:7" x14ac:dyDescent="0.25">
      <c r="B171">
        <v>162</v>
      </c>
      <c r="C171" s="2">
        <f t="shared" si="15"/>
        <v>5382.6215210909959</v>
      </c>
      <c r="D171" s="2">
        <f t="shared" si="11"/>
        <v>-37.047426928119663</v>
      </c>
      <c r="E171" s="2">
        <f t="shared" si="12"/>
        <v>-17.942071736969993</v>
      </c>
      <c r="F171" s="2">
        <f t="shared" si="13"/>
        <v>-19.10535519114967</v>
      </c>
      <c r="G171" s="2">
        <f t="shared" si="14"/>
        <v>5363.5161658998459</v>
      </c>
    </row>
    <row r="172" spans="2:7" x14ac:dyDescent="0.25">
      <c r="B172">
        <v>163</v>
      </c>
      <c r="C172" s="2">
        <f t="shared" si="15"/>
        <v>5363.5161658998459</v>
      </c>
      <c r="D172" s="2">
        <f t="shared" si="11"/>
        <v>-37.047426928119663</v>
      </c>
      <c r="E172" s="2">
        <f t="shared" si="12"/>
        <v>-17.878387219666159</v>
      </c>
      <c r="F172" s="2">
        <f t="shared" si="13"/>
        <v>-19.1690397084535</v>
      </c>
      <c r="G172" s="2">
        <f t="shared" si="14"/>
        <v>5344.3471261913928</v>
      </c>
    </row>
    <row r="173" spans="2:7" x14ac:dyDescent="0.25">
      <c r="B173">
        <v>164</v>
      </c>
      <c r="C173" s="2">
        <f t="shared" si="15"/>
        <v>5344.3471261913928</v>
      </c>
      <c r="D173" s="2">
        <f t="shared" si="11"/>
        <v>-37.047426928119663</v>
      </c>
      <c r="E173" s="2">
        <f t="shared" si="12"/>
        <v>-17.814490420637984</v>
      </c>
      <c r="F173" s="2">
        <f t="shared" si="13"/>
        <v>-19.232936507481682</v>
      </c>
      <c r="G173" s="2">
        <f t="shared" si="14"/>
        <v>5325.1141896839108</v>
      </c>
    </row>
    <row r="174" spans="2:7" x14ac:dyDescent="0.25">
      <c r="B174">
        <v>165</v>
      </c>
      <c r="C174" s="2">
        <f t="shared" si="15"/>
        <v>5325.1141896839108</v>
      </c>
      <c r="D174" s="2">
        <f t="shared" si="11"/>
        <v>-37.047426928119663</v>
      </c>
      <c r="E174" s="2">
        <f t="shared" si="12"/>
        <v>-17.750380632279711</v>
      </c>
      <c r="F174" s="2">
        <f t="shared" si="13"/>
        <v>-19.297046295839952</v>
      </c>
      <c r="G174" s="2">
        <f t="shared" si="14"/>
        <v>5305.8171433880707</v>
      </c>
    </row>
    <row r="175" spans="2:7" x14ac:dyDescent="0.25">
      <c r="B175">
        <v>166</v>
      </c>
      <c r="C175" s="2">
        <f t="shared" si="15"/>
        <v>5305.8171433880707</v>
      </c>
      <c r="D175" s="2">
        <f t="shared" si="11"/>
        <v>-37.047426928119663</v>
      </c>
      <c r="E175" s="2">
        <f t="shared" si="12"/>
        <v>-17.686057144626911</v>
      </c>
      <c r="F175" s="2">
        <f t="shared" si="13"/>
        <v>-19.361369783492751</v>
      </c>
      <c r="G175" s="2">
        <f t="shared" si="14"/>
        <v>5286.4557736045781</v>
      </c>
    </row>
    <row r="176" spans="2:7" x14ac:dyDescent="0.25">
      <c r="B176">
        <v>167</v>
      </c>
      <c r="C176" s="2">
        <f t="shared" si="15"/>
        <v>5286.4557736045781</v>
      </c>
      <c r="D176" s="2">
        <f t="shared" si="11"/>
        <v>-37.047426928119663</v>
      </c>
      <c r="E176" s="2">
        <f t="shared" si="12"/>
        <v>-17.621519245348601</v>
      </c>
      <c r="F176" s="2">
        <f t="shared" si="13"/>
        <v>-19.425907682771058</v>
      </c>
      <c r="G176" s="2">
        <f t="shared" si="14"/>
        <v>5267.029865921807</v>
      </c>
    </row>
    <row r="177" spans="2:7" x14ac:dyDescent="0.25">
      <c r="B177">
        <v>168</v>
      </c>
      <c r="C177" s="2">
        <f t="shared" si="15"/>
        <v>5267.029865921807</v>
      </c>
      <c r="D177" s="2">
        <f t="shared" si="11"/>
        <v>-37.047426928119663</v>
      </c>
      <c r="E177" s="2">
        <f t="shared" si="12"/>
        <v>-17.556766219739362</v>
      </c>
      <c r="F177" s="2">
        <f t="shared" si="13"/>
        <v>-19.490660708380297</v>
      </c>
      <c r="G177" s="2">
        <f t="shared" si="14"/>
        <v>5247.5392052134266</v>
      </c>
    </row>
    <row r="178" spans="2:7" x14ac:dyDescent="0.25">
      <c r="B178">
        <v>169</v>
      </c>
      <c r="C178" s="2">
        <f t="shared" si="15"/>
        <v>5247.5392052134266</v>
      </c>
      <c r="D178" s="2">
        <f t="shared" si="11"/>
        <v>-37.047426928119663</v>
      </c>
      <c r="E178" s="2">
        <f t="shared" si="12"/>
        <v>-17.49179735071143</v>
      </c>
      <c r="F178" s="2">
        <f t="shared" si="13"/>
        <v>-19.555629577408229</v>
      </c>
      <c r="G178" s="2">
        <f t="shared" si="14"/>
        <v>5227.983575636018</v>
      </c>
    </row>
    <row r="179" spans="2:7" x14ac:dyDescent="0.25">
      <c r="B179">
        <v>170</v>
      </c>
      <c r="C179" s="2">
        <f t="shared" si="15"/>
        <v>5227.983575636018</v>
      </c>
      <c r="D179" s="2">
        <f t="shared" si="11"/>
        <v>-37.047426928119663</v>
      </c>
      <c r="E179" s="2">
        <f t="shared" si="12"/>
        <v>-17.426611918786737</v>
      </c>
      <c r="F179" s="2">
        <f t="shared" si="13"/>
        <v>-19.620815009332926</v>
      </c>
      <c r="G179" s="2">
        <f t="shared" si="14"/>
        <v>5208.3627606266855</v>
      </c>
    </row>
    <row r="180" spans="2:7" x14ac:dyDescent="0.25">
      <c r="B180">
        <v>171</v>
      </c>
      <c r="C180" s="2">
        <f t="shared" si="15"/>
        <v>5208.3627606266855</v>
      </c>
      <c r="D180" s="2">
        <f t="shared" si="11"/>
        <v>-37.047426928119663</v>
      </c>
      <c r="E180" s="2">
        <f t="shared" si="12"/>
        <v>-17.361209202088958</v>
      </c>
      <c r="F180" s="2">
        <f t="shared" si="13"/>
        <v>-19.686217726030701</v>
      </c>
      <c r="G180" s="2">
        <f t="shared" si="14"/>
        <v>5188.6765429006546</v>
      </c>
    </row>
    <row r="181" spans="2:7" x14ac:dyDescent="0.25">
      <c r="B181">
        <v>172</v>
      </c>
      <c r="C181" s="2">
        <f t="shared" si="15"/>
        <v>5188.6765429006546</v>
      </c>
      <c r="D181" s="2">
        <f t="shared" si="11"/>
        <v>-37.047426928119663</v>
      </c>
      <c r="E181" s="2">
        <f t="shared" si="12"/>
        <v>-17.295588476335521</v>
      </c>
      <c r="F181" s="2">
        <f t="shared" si="13"/>
        <v>-19.751838451784135</v>
      </c>
      <c r="G181" s="2">
        <f t="shared" si="14"/>
        <v>5168.9247044488702</v>
      </c>
    </row>
    <row r="182" spans="2:7" x14ac:dyDescent="0.25">
      <c r="B182">
        <v>173</v>
      </c>
      <c r="C182" s="2">
        <f t="shared" si="15"/>
        <v>5168.9247044488702</v>
      </c>
      <c r="D182" s="2">
        <f t="shared" si="11"/>
        <v>-37.047426928119663</v>
      </c>
      <c r="E182" s="2">
        <f t="shared" si="12"/>
        <v>-17.229749014829579</v>
      </c>
      <c r="F182" s="2">
        <f t="shared" si="13"/>
        <v>-19.817677913290087</v>
      </c>
      <c r="G182" s="2">
        <f t="shared" si="14"/>
        <v>5149.1070265355802</v>
      </c>
    </row>
    <row r="183" spans="2:7" x14ac:dyDescent="0.25">
      <c r="B183">
        <v>174</v>
      </c>
      <c r="C183" s="2">
        <f t="shared" si="15"/>
        <v>5149.1070265355802</v>
      </c>
      <c r="D183" s="2">
        <f t="shared" si="11"/>
        <v>-37.047426928119663</v>
      </c>
      <c r="E183" s="2">
        <f t="shared" si="12"/>
        <v>-17.16369008845194</v>
      </c>
      <c r="F183" s="2">
        <f t="shared" si="13"/>
        <v>-19.883736839667719</v>
      </c>
      <c r="G183" s="2">
        <f t="shared" si="14"/>
        <v>5129.2232896959122</v>
      </c>
    </row>
    <row r="184" spans="2:7" x14ac:dyDescent="0.25">
      <c r="B184">
        <v>175</v>
      </c>
      <c r="C184" s="2">
        <f t="shared" si="15"/>
        <v>5129.2232896959122</v>
      </c>
      <c r="D184" s="2">
        <f t="shared" si="11"/>
        <v>-37.047426928119663</v>
      </c>
      <c r="E184" s="2">
        <f t="shared" si="12"/>
        <v>-17.097410965653047</v>
      </c>
      <c r="F184" s="2">
        <f t="shared" si="13"/>
        <v>-19.950015962466612</v>
      </c>
      <c r="G184" s="2">
        <f t="shared" si="14"/>
        <v>5109.2732737334454</v>
      </c>
    </row>
    <row r="185" spans="2:7" x14ac:dyDescent="0.25">
      <c r="B185">
        <v>176</v>
      </c>
      <c r="C185" s="2">
        <f t="shared" si="15"/>
        <v>5109.2732737334454</v>
      </c>
      <c r="D185" s="2">
        <f t="shared" si="11"/>
        <v>-37.047426928119663</v>
      </c>
      <c r="E185" s="2">
        <f t="shared" si="12"/>
        <v>-17.030910912444828</v>
      </c>
      <c r="F185" s="2">
        <f t="shared" si="13"/>
        <v>-20.016516015674831</v>
      </c>
      <c r="G185" s="2">
        <f t="shared" si="14"/>
        <v>5089.2567577177706</v>
      </c>
    </row>
    <row r="186" spans="2:7" x14ac:dyDescent="0.25">
      <c r="B186">
        <v>177</v>
      </c>
      <c r="C186" s="2">
        <f t="shared" si="15"/>
        <v>5089.2567577177706</v>
      </c>
      <c r="D186" s="2">
        <f t="shared" si="11"/>
        <v>-37.047426928119663</v>
      </c>
      <c r="E186" s="2">
        <f t="shared" si="12"/>
        <v>-16.964189192392578</v>
      </c>
      <c r="F186" s="2">
        <f t="shared" si="13"/>
        <v>-20.083237735727085</v>
      </c>
      <c r="G186" s="2">
        <f t="shared" si="14"/>
        <v>5069.1735199820432</v>
      </c>
    </row>
    <row r="187" spans="2:7" x14ac:dyDescent="0.25">
      <c r="B187">
        <v>178</v>
      </c>
      <c r="C187" s="2">
        <f t="shared" si="15"/>
        <v>5069.1735199820432</v>
      </c>
      <c r="D187" s="2">
        <f t="shared" si="11"/>
        <v>-37.047426928119663</v>
      </c>
      <c r="E187" s="2">
        <f t="shared" si="12"/>
        <v>-16.897245066606821</v>
      </c>
      <c r="F187" s="2">
        <f t="shared" si="13"/>
        <v>-20.150181861512838</v>
      </c>
      <c r="G187" s="2">
        <f t="shared" si="14"/>
        <v>5049.0233381205308</v>
      </c>
    </row>
    <row r="188" spans="2:7" x14ac:dyDescent="0.25">
      <c r="B188">
        <v>179</v>
      </c>
      <c r="C188" s="2">
        <f t="shared" si="15"/>
        <v>5049.0233381205308</v>
      </c>
      <c r="D188" s="2">
        <f t="shared" si="11"/>
        <v>-37.047426928119663</v>
      </c>
      <c r="E188" s="2">
        <f t="shared" si="12"/>
        <v>-16.830077793735111</v>
      </c>
      <c r="F188" s="2">
        <f t="shared" si="13"/>
        <v>-20.217349134384552</v>
      </c>
      <c r="G188" s="2">
        <f t="shared" si="14"/>
        <v>5028.8059889861461</v>
      </c>
    </row>
    <row r="189" spans="2:7" x14ac:dyDescent="0.25">
      <c r="B189">
        <v>180</v>
      </c>
      <c r="C189" s="2">
        <f t="shared" si="15"/>
        <v>5028.8059889861461</v>
      </c>
      <c r="D189" s="2">
        <f t="shared" si="11"/>
        <v>-37.047426928119663</v>
      </c>
      <c r="E189" s="2">
        <f t="shared" si="12"/>
        <v>-16.76268662995383</v>
      </c>
      <c r="F189" s="2">
        <f t="shared" si="13"/>
        <v>-20.284740298165829</v>
      </c>
      <c r="G189" s="2">
        <f t="shared" si="14"/>
        <v>5008.52124868798</v>
      </c>
    </row>
    <row r="190" spans="2:7" x14ac:dyDescent="0.25">
      <c r="B190">
        <v>181</v>
      </c>
      <c r="C190" s="2">
        <f t="shared" si="15"/>
        <v>5008.52124868798</v>
      </c>
      <c r="D190" s="2">
        <f t="shared" si="11"/>
        <v>-37.047426928119663</v>
      </c>
      <c r="E190" s="2">
        <f t="shared" si="12"/>
        <v>-16.695070828959945</v>
      </c>
      <c r="F190" s="2">
        <f t="shared" si="13"/>
        <v>-20.352356099159721</v>
      </c>
      <c r="G190" s="2">
        <f t="shared" si="14"/>
        <v>4988.1688925888202</v>
      </c>
    </row>
    <row r="191" spans="2:7" x14ac:dyDescent="0.25">
      <c r="B191">
        <v>182</v>
      </c>
      <c r="C191" s="2">
        <f t="shared" si="15"/>
        <v>4988.1688925888202</v>
      </c>
      <c r="D191" s="2">
        <f t="shared" si="11"/>
        <v>-37.047426928119663</v>
      </c>
      <c r="E191" s="2">
        <f t="shared" si="12"/>
        <v>-16.627229641962746</v>
      </c>
      <c r="F191" s="2">
        <f t="shared" si="13"/>
        <v>-20.420197286156917</v>
      </c>
      <c r="G191" s="2">
        <f t="shared" si="14"/>
        <v>4967.7486953026637</v>
      </c>
    </row>
    <row r="192" spans="2:7" x14ac:dyDescent="0.25">
      <c r="B192">
        <v>183</v>
      </c>
      <c r="C192" s="2">
        <f t="shared" si="15"/>
        <v>4967.7486953026637</v>
      </c>
      <c r="D192" s="2">
        <f t="shared" si="11"/>
        <v>-37.047426928119663</v>
      </c>
      <c r="E192" s="2">
        <f t="shared" si="12"/>
        <v>-16.55916231767555</v>
      </c>
      <c r="F192" s="2">
        <f t="shared" si="13"/>
        <v>-20.488264610444105</v>
      </c>
      <c r="G192" s="2">
        <f t="shared" si="14"/>
        <v>4947.2604306922194</v>
      </c>
    </row>
    <row r="193" spans="2:7" x14ac:dyDescent="0.25">
      <c r="B193">
        <v>184</v>
      </c>
      <c r="C193" s="2">
        <f t="shared" si="15"/>
        <v>4947.2604306922194</v>
      </c>
      <c r="D193" s="2">
        <f t="shared" si="11"/>
        <v>-37.047426928119663</v>
      </c>
      <c r="E193" s="2">
        <f t="shared" si="12"/>
        <v>-16.49086810230741</v>
      </c>
      <c r="F193" s="2">
        <f t="shared" si="13"/>
        <v>-20.55655882581225</v>
      </c>
      <c r="G193" s="2">
        <f t="shared" si="14"/>
        <v>4926.7038718664071</v>
      </c>
    </row>
    <row r="194" spans="2:7" x14ac:dyDescent="0.25">
      <c r="B194">
        <v>185</v>
      </c>
      <c r="C194" s="2">
        <f t="shared" si="15"/>
        <v>4926.7038718664071</v>
      </c>
      <c r="D194" s="2">
        <f t="shared" si="11"/>
        <v>-37.047426928119663</v>
      </c>
      <c r="E194" s="2">
        <f t="shared" si="12"/>
        <v>-16.422346239554699</v>
      </c>
      <c r="F194" s="2">
        <f t="shared" si="13"/>
        <v>-20.62508068856496</v>
      </c>
      <c r="G194" s="2">
        <f t="shared" si="14"/>
        <v>4906.0787911778425</v>
      </c>
    </row>
    <row r="195" spans="2:7" x14ac:dyDescent="0.25">
      <c r="B195">
        <v>186</v>
      </c>
      <c r="C195" s="2">
        <f t="shared" si="15"/>
        <v>4906.0787911778425</v>
      </c>
      <c r="D195" s="2">
        <f t="shared" si="11"/>
        <v>-37.047426928119663</v>
      </c>
      <c r="E195" s="2">
        <f t="shared" si="12"/>
        <v>-16.353595970592817</v>
      </c>
      <c r="F195" s="2">
        <f t="shared" si="13"/>
        <v>-20.693830957526846</v>
      </c>
      <c r="G195" s="2">
        <f t="shared" si="14"/>
        <v>4885.3849602203154</v>
      </c>
    </row>
    <row r="196" spans="2:7" x14ac:dyDescent="0.25">
      <c r="B196">
        <v>187</v>
      </c>
      <c r="C196" s="2">
        <f t="shared" si="15"/>
        <v>4885.3849602203154</v>
      </c>
      <c r="D196" s="2">
        <f t="shared" si="11"/>
        <v>-37.047426928119663</v>
      </c>
      <c r="E196" s="2">
        <f t="shared" si="12"/>
        <v>-16.284616534067727</v>
      </c>
      <c r="F196" s="2">
        <f t="shared" si="13"/>
        <v>-20.762810394051936</v>
      </c>
      <c r="G196" s="2">
        <f t="shared" si="14"/>
        <v>4864.6221498262639</v>
      </c>
    </row>
    <row r="197" spans="2:7" x14ac:dyDescent="0.25">
      <c r="B197">
        <v>188</v>
      </c>
      <c r="C197" s="2">
        <f t="shared" si="15"/>
        <v>4864.6221498262639</v>
      </c>
      <c r="D197" s="2">
        <f t="shared" si="11"/>
        <v>-37.047426928119663</v>
      </c>
      <c r="E197" s="2">
        <f t="shared" si="12"/>
        <v>-16.215407166087555</v>
      </c>
      <c r="F197" s="2">
        <f t="shared" si="13"/>
        <v>-20.832019762032104</v>
      </c>
      <c r="G197" s="2">
        <f t="shared" si="14"/>
        <v>4843.7901300642316</v>
      </c>
    </row>
    <row r="198" spans="2:7" x14ac:dyDescent="0.25">
      <c r="B198">
        <v>189</v>
      </c>
      <c r="C198" s="2">
        <f t="shared" si="15"/>
        <v>4843.7901300642316</v>
      </c>
      <c r="D198" s="2">
        <f t="shared" si="11"/>
        <v>-37.047426928119663</v>
      </c>
      <c r="E198" s="2">
        <f t="shared" si="12"/>
        <v>-16.145967100214111</v>
      </c>
      <c r="F198" s="2">
        <f t="shared" si="13"/>
        <v>-20.901459827905544</v>
      </c>
      <c r="G198" s="2">
        <f t="shared" si="14"/>
        <v>4822.8886702363261</v>
      </c>
    </row>
    <row r="199" spans="2:7" x14ac:dyDescent="0.25">
      <c r="B199">
        <v>190</v>
      </c>
      <c r="C199" s="2">
        <f t="shared" si="15"/>
        <v>4822.8886702363261</v>
      </c>
      <c r="D199" s="2">
        <f t="shared" si="11"/>
        <v>-37.047426928119663</v>
      </c>
      <c r="E199" s="2">
        <f t="shared" si="12"/>
        <v>-16.076295567454427</v>
      </c>
      <c r="F199" s="2">
        <f t="shared" si="13"/>
        <v>-20.971131360665233</v>
      </c>
      <c r="G199" s="2">
        <f t="shared" si="14"/>
        <v>4801.9175388756612</v>
      </c>
    </row>
    <row r="200" spans="2:7" x14ac:dyDescent="0.25">
      <c r="B200">
        <v>191</v>
      </c>
      <c r="C200" s="2">
        <f t="shared" si="15"/>
        <v>4801.9175388756612</v>
      </c>
      <c r="D200" s="2">
        <f t="shared" si="11"/>
        <v>-37.047426928119663</v>
      </c>
      <c r="E200" s="2">
        <f t="shared" si="12"/>
        <v>-16.00639179625221</v>
      </c>
      <c r="F200" s="2">
        <f t="shared" si="13"/>
        <v>-21.041035131867449</v>
      </c>
      <c r="G200" s="2">
        <f t="shared" si="14"/>
        <v>4780.8765037437934</v>
      </c>
    </row>
    <row r="201" spans="2:7" x14ac:dyDescent="0.25">
      <c r="B201">
        <v>192</v>
      </c>
      <c r="C201" s="2">
        <f t="shared" si="15"/>
        <v>4780.8765037437934</v>
      </c>
      <c r="D201" s="2">
        <f t="shared" si="11"/>
        <v>-37.047426928119663</v>
      </c>
      <c r="E201" s="2">
        <f t="shared" si="12"/>
        <v>-15.936255012479318</v>
      </c>
      <c r="F201" s="2">
        <f t="shared" si="13"/>
        <v>-21.111171915640341</v>
      </c>
      <c r="G201" s="2">
        <f t="shared" si="14"/>
        <v>4759.7653318281527</v>
      </c>
    </row>
    <row r="202" spans="2:7" x14ac:dyDescent="0.25">
      <c r="B202">
        <v>193</v>
      </c>
      <c r="C202" s="2">
        <f t="shared" si="15"/>
        <v>4759.7653318281527</v>
      </c>
      <c r="D202" s="2">
        <f t="shared" si="11"/>
        <v>-37.047426928119663</v>
      </c>
      <c r="E202" s="2">
        <f t="shared" si="12"/>
        <v>-15.865884439427186</v>
      </c>
      <c r="F202" s="2">
        <f t="shared" si="13"/>
        <v>-21.181542488692475</v>
      </c>
      <c r="G202" s="2">
        <f t="shared" si="14"/>
        <v>4738.5837893394601</v>
      </c>
    </row>
    <row r="203" spans="2:7" x14ac:dyDescent="0.25">
      <c r="B203">
        <v>194</v>
      </c>
      <c r="C203" s="2">
        <f t="shared" si="15"/>
        <v>4738.5837893394601</v>
      </c>
      <c r="D203" s="2">
        <f t="shared" ref="D203:D266" si="16">PMT($D$4/12,$D$5*12,$D$3)</f>
        <v>-37.047426928119663</v>
      </c>
      <c r="E203" s="2">
        <f t="shared" ref="E203:E266" si="17">IPMT($D$4/12,B203,$D$5*12,$D$3)</f>
        <v>-15.795279297798213</v>
      </c>
      <c r="F203" s="2">
        <f t="shared" ref="F203:F266" si="18">PPMT($D$4/12,B203,$D$5*12,$D$3)</f>
        <v>-21.252147630321453</v>
      </c>
      <c r="G203" s="2">
        <f t="shared" ref="G203:G266" si="19">F203+C203</f>
        <v>4717.3316417091382</v>
      </c>
    </row>
    <row r="204" spans="2:7" x14ac:dyDescent="0.25">
      <c r="B204">
        <v>195</v>
      </c>
      <c r="C204" s="2">
        <f t="shared" ref="C204:C267" si="20">G203</f>
        <v>4717.3316417091382</v>
      </c>
      <c r="D204" s="2">
        <f t="shared" si="16"/>
        <v>-37.047426928119663</v>
      </c>
      <c r="E204" s="2">
        <f t="shared" si="17"/>
        <v>-15.72443880569714</v>
      </c>
      <c r="F204" s="2">
        <f t="shared" si="18"/>
        <v>-21.322988122422519</v>
      </c>
      <c r="G204" s="2">
        <f t="shared" si="19"/>
        <v>4696.0086535867158</v>
      </c>
    </row>
    <row r="205" spans="2:7" x14ac:dyDescent="0.25">
      <c r="B205">
        <v>196</v>
      </c>
      <c r="C205" s="2">
        <f t="shared" si="20"/>
        <v>4696.0086535867158</v>
      </c>
      <c r="D205" s="2">
        <f t="shared" si="16"/>
        <v>-37.047426928119663</v>
      </c>
      <c r="E205" s="2">
        <f t="shared" si="17"/>
        <v>-15.6533621786224</v>
      </c>
      <c r="F205" s="2">
        <f t="shared" si="18"/>
        <v>-21.394064749497261</v>
      </c>
      <c r="G205" s="2">
        <f t="shared" si="19"/>
        <v>4674.6145888372184</v>
      </c>
    </row>
    <row r="206" spans="2:7" x14ac:dyDescent="0.25">
      <c r="B206">
        <v>197</v>
      </c>
      <c r="C206" s="2">
        <f t="shared" si="20"/>
        <v>4674.6145888372184</v>
      </c>
      <c r="D206" s="2">
        <f t="shared" si="16"/>
        <v>-37.047426928119663</v>
      </c>
      <c r="E206" s="2">
        <f t="shared" si="17"/>
        <v>-15.582048629457406</v>
      </c>
      <c r="F206" s="2">
        <f t="shared" si="18"/>
        <v>-21.465378298662255</v>
      </c>
      <c r="G206" s="2">
        <f t="shared" si="19"/>
        <v>4653.149210538556</v>
      </c>
    </row>
    <row r="207" spans="2:7" x14ac:dyDescent="0.25">
      <c r="B207">
        <v>198</v>
      </c>
      <c r="C207" s="2">
        <f t="shared" si="20"/>
        <v>4653.149210538556</v>
      </c>
      <c r="D207" s="2">
        <f t="shared" si="16"/>
        <v>-37.047426928119663</v>
      </c>
      <c r="E207" s="2">
        <f t="shared" si="17"/>
        <v>-15.510497368461866</v>
      </c>
      <c r="F207" s="2">
        <f t="shared" si="18"/>
        <v>-21.536929559657793</v>
      </c>
      <c r="G207" s="2">
        <f t="shared" si="19"/>
        <v>4631.6122809788985</v>
      </c>
    </row>
    <row r="208" spans="2:7" x14ac:dyDescent="0.25">
      <c r="B208">
        <v>199</v>
      </c>
      <c r="C208" s="2">
        <f t="shared" si="20"/>
        <v>4631.6122809788985</v>
      </c>
      <c r="D208" s="2">
        <f t="shared" si="16"/>
        <v>-37.047426928119663</v>
      </c>
      <c r="E208" s="2">
        <f t="shared" si="17"/>
        <v>-15.438707603263005</v>
      </c>
      <c r="F208" s="2">
        <f t="shared" si="18"/>
        <v>-21.608719324856651</v>
      </c>
      <c r="G208" s="2">
        <f t="shared" si="19"/>
        <v>4610.0035616540417</v>
      </c>
    </row>
    <row r="209" spans="2:7" x14ac:dyDescent="0.25">
      <c r="B209">
        <v>200</v>
      </c>
      <c r="C209" s="2">
        <f t="shared" si="20"/>
        <v>4610.0035616540417</v>
      </c>
      <c r="D209" s="2">
        <f t="shared" si="16"/>
        <v>-37.047426928119663</v>
      </c>
      <c r="E209" s="2">
        <f t="shared" si="17"/>
        <v>-15.366678538846818</v>
      </c>
      <c r="F209" s="2">
        <f t="shared" si="18"/>
        <v>-21.680748389272843</v>
      </c>
      <c r="G209" s="2">
        <f t="shared" si="19"/>
        <v>4588.3228132647691</v>
      </c>
    </row>
    <row r="210" spans="2:7" x14ac:dyDescent="0.25">
      <c r="B210">
        <v>201</v>
      </c>
      <c r="C210" s="2">
        <f t="shared" si="20"/>
        <v>4588.3228132647691</v>
      </c>
      <c r="D210" s="2">
        <f t="shared" si="16"/>
        <v>-37.047426928119663</v>
      </c>
      <c r="E210" s="2">
        <f t="shared" si="17"/>
        <v>-15.29440937754924</v>
      </c>
      <c r="F210" s="2">
        <f t="shared" si="18"/>
        <v>-21.753017550570419</v>
      </c>
      <c r="G210" s="2">
        <f t="shared" si="19"/>
        <v>4566.5697957141983</v>
      </c>
    </row>
    <row r="211" spans="2:7" x14ac:dyDescent="0.25">
      <c r="B211">
        <v>202</v>
      </c>
      <c r="C211" s="2">
        <f t="shared" si="20"/>
        <v>4566.5697957141983</v>
      </c>
      <c r="D211" s="2">
        <f t="shared" si="16"/>
        <v>-37.047426928119663</v>
      </c>
      <c r="E211" s="2">
        <f t="shared" si="17"/>
        <v>-15.22189931904734</v>
      </c>
      <c r="F211" s="2">
        <f t="shared" si="18"/>
        <v>-21.825527609072321</v>
      </c>
      <c r="G211" s="2">
        <f t="shared" si="19"/>
        <v>4544.7442681051261</v>
      </c>
    </row>
    <row r="212" spans="2:7" x14ac:dyDescent="0.25">
      <c r="B212">
        <v>203</v>
      </c>
      <c r="C212" s="2">
        <f t="shared" si="20"/>
        <v>4544.7442681051261</v>
      </c>
      <c r="D212" s="2">
        <f t="shared" si="16"/>
        <v>-37.047426928119663</v>
      </c>
      <c r="E212" s="2">
        <f t="shared" si="17"/>
        <v>-15.149147560350434</v>
      </c>
      <c r="F212" s="2">
        <f t="shared" si="18"/>
        <v>-21.898279367769231</v>
      </c>
      <c r="G212" s="2">
        <f t="shared" si="19"/>
        <v>4522.8459887373565</v>
      </c>
    </row>
    <row r="213" spans="2:7" x14ac:dyDescent="0.25">
      <c r="B213">
        <v>204</v>
      </c>
      <c r="C213" s="2">
        <f t="shared" si="20"/>
        <v>4522.8459887373565</v>
      </c>
      <c r="D213" s="2">
        <f t="shared" si="16"/>
        <v>-37.047426928119663</v>
      </c>
      <c r="E213" s="2">
        <f t="shared" si="17"/>
        <v>-15.076153295791201</v>
      </c>
      <c r="F213" s="2">
        <f t="shared" si="18"/>
        <v>-21.971273632328458</v>
      </c>
      <c r="G213" s="2">
        <f t="shared" si="19"/>
        <v>4500.8747151050284</v>
      </c>
    </row>
    <row r="214" spans="2:7" x14ac:dyDescent="0.25">
      <c r="B214">
        <v>205</v>
      </c>
      <c r="C214" s="2">
        <f t="shared" si="20"/>
        <v>4500.8747151050284</v>
      </c>
      <c r="D214" s="2">
        <f t="shared" si="16"/>
        <v>-37.047426928119663</v>
      </c>
      <c r="E214" s="2">
        <f t="shared" si="17"/>
        <v>-15.002915717016771</v>
      </c>
      <c r="F214" s="2">
        <f t="shared" si="18"/>
        <v>-22.044511211102886</v>
      </c>
      <c r="G214" s="2">
        <f t="shared" si="19"/>
        <v>4478.8302038939255</v>
      </c>
    </row>
    <row r="215" spans="2:7" x14ac:dyDescent="0.25">
      <c r="B215">
        <v>206</v>
      </c>
      <c r="C215" s="2">
        <f t="shared" si="20"/>
        <v>4478.8302038939255</v>
      </c>
      <c r="D215" s="2">
        <f t="shared" si="16"/>
        <v>-37.047426928119663</v>
      </c>
      <c r="E215" s="2">
        <f t="shared" si="17"/>
        <v>-14.929434012979762</v>
      </c>
      <c r="F215" s="2">
        <f t="shared" si="18"/>
        <v>-22.117992915139897</v>
      </c>
      <c r="G215" s="2">
        <f t="shared" si="19"/>
        <v>4456.7122109787852</v>
      </c>
    </row>
    <row r="216" spans="2:7" x14ac:dyDescent="0.25">
      <c r="B216">
        <v>207</v>
      </c>
      <c r="C216" s="2">
        <f t="shared" si="20"/>
        <v>4456.7122109787852</v>
      </c>
      <c r="D216" s="2">
        <f t="shared" si="16"/>
        <v>-37.047426928119663</v>
      </c>
      <c r="E216" s="2">
        <f t="shared" si="17"/>
        <v>-14.855707369929297</v>
      </c>
      <c r="F216" s="2">
        <f t="shared" si="18"/>
        <v>-22.191719558190364</v>
      </c>
      <c r="G216" s="2">
        <f t="shared" si="19"/>
        <v>4434.5204914205951</v>
      </c>
    </row>
    <row r="217" spans="2:7" x14ac:dyDescent="0.25">
      <c r="B217">
        <v>208</v>
      </c>
      <c r="C217" s="2">
        <f t="shared" si="20"/>
        <v>4434.5204914205951</v>
      </c>
      <c r="D217" s="2">
        <f t="shared" si="16"/>
        <v>-37.047426928119663</v>
      </c>
      <c r="E217" s="2">
        <f t="shared" si="17"/>
        <v>-14.781734971401997</v>
      </c>
      <c r="F217" s="2">
        <f t="shared" si="18"/>
        <v>-22.265691956717664</v>
      </c>
      <c r="G217" s="2">
        <f t="shared" si="19"/>
        <v>4412.2547994638771</v>
      </c>
    </row>
    <row r="218" spans="2:7" x14ac:dyDescent="0.25">
      <c r="B218">
        <v>209</v>
      </c>
      <c r="C218" s="2">
        <f t="shared" si="20"/>
        <v>4412.2547994638771</v>
      </c>
      <c r="D218" s="2">
        <f t="shared" si="16"/>
        <v>-37.047426928119663</v>
      </c>
      <c r="E218" s="2">
        <f t="shared" si="17"/>
        <v>-14.707515998212941</v>
      </c>
      <c r="F218" s="2">
        <f t="shared" si="18"/>
        <v>-22.339910929906726</v>
      </c>
      <c r="G218" s="2">
        <f t="shared" si="19"/>
        <v>4389.91488853397</v>
      </c>
    </row>
    <row r="219" spans="2:7" x14ac:dyDescent="0.25">
      <c r="B219">
        <v>210</v>
      </c>
      <c r="C219" s="2">
        <f t="shared" si="20"/>
        <v>4389.91488853397</v>
      </c>
      <c r="D219" s="2">
        <f t="shared" si="16"/>
        <v>-37.047426928119663</v>
      </c>
      <c r="E219" s="2">
        <f t="shared" si="17"/>
        <v>-14.63304962844658</v>
      </c>
      <c r="F219" s="2">
        <f t="shared" si="18"/>
        <v>-22.414377299673081</v>
      </c>
      <c r="G219" s="2">
        <f t="shared" si="19"/>
        <v>4367.5005112342969</v>
      </c>
    </row>
    <row r="220" spans="2:7" x14ac:dyDescent="0.25">
      <c r="B220">
        <v>211</v>
      </c>
      <c r="C220" s="2">
        <f t="shared" si="20"/>
        <v>4367.5005112342969</v>
      </c>
      <c r="D220" s="2">
        <f t="shared" si="16"/>
        <v>-37.047426928119663</v>
      </c>
      <c r="E220" s="2">
        <f t="shared" si="17"/>
        <v>-14.558335037447669</v>
      </c>
      <c r="F220" s="2">
        <f t="shared" si="18"/>
        <v>-22.489091890671986</v>
      </c>
      <c r="G220" s="2">
        <f t="shared" si="19"/>
        <v>4345.0114193436248</v>
      </c>
    </row>
    <row r="221" spans="2:7" x14ac:dyDescent="0.25">
      <c r="B221">
        <v>212</v>
      </c>
      <c r="C221" s="2">
        <f t="shared" si="20"/>
        <v>4345.0114193436248</v>
      </c>
      <c r="D221" s="2">
        <f t="shared" si="16"/>
        <v>-37.047426928119663</v>
      </c>
      <c r="E221" s="2">
        <f t="shared" si="17"/>
        <v>-14.483371397812098</v>
      </c>
      <c r="F221" s="2">
        <f t="shared" si="18"/>
        <v>-22.564055530307563</v>
      </c>
      <c r="G221" s="2">
        <f t="shared" si="19"/>
        <v>4322.4473638133168</v>
      </c>
    </row>
    <row r="222" spans="2:7" x14ac:dyDescent="0.25">
      <c r="B222">
        <v>213</v>
      </c>
      <c r="C222" s="2">
        <f t="shared" si="20"/>
        <v>4322.4473638133168</v>
      </c>
      <c r="D222" s="2">
        <f t="shared" si="16"/>
        <v>-37.047426928119663</v>
      </c>
      <c r="E222" s="2">
        <f t="shared" si="17"/>
        <v>-14.408157879377738</v>
      </c>
      <c r="F222" s="2">
        <f t="shared" si="18"/>
        <v>-22.639269048741923</v>
      </c>
      <c r="G222" s="2">
        <f t="shared" si="19"/>
        <v>4299.8080947645749</v>
      </c>
    </row>
    <row r="223" spans="2:7" x14ac:dyDescent="0.25">
      <c r="B223">
        <v>214</v>
      </c>
      <c r="C223" s="2">
        <f t="shared" si="20"/>
        <v>4299.8080947645749</v>
      </c>
      <c r="D223" s="2">
        <f t="shared" si="16"/>
        <v>-37.047426928119663</v>
      </c>
      <c r="E223" s="2">
        <f t="shared" si="17"/>
        <v>-14.332693649215265</v>
      </c>
      <c r="F223" s="2">
        <f t="shared" si="18"/>
        <v>-22.71473327890439</v>
      </c>
      <c r="G223" s="2">
        <f t="shared" si="19"/>
        <v>4277.0933614856704</v>
      </c>
    </row>
    <row r="224" spans="2:7" x14ac:dyDescent="0.25">
      <c r="B224">
        <v>215</v>
      </c>
      <c r="C224" s="2">
        <f t="shared" si="20"/>
        <v>4277.0933614856704</v>
      </c>
      <c r="D224" s="2">
        <f t="shared" si="16"/>
        <v>-37.047426928119663</v>
      </c>
      <c r="E224" s="2">
        <f t="shared" si="17"/>
        <v>-14.256977871618917</v>
      </c>
      <c r="F224" s="2">
        <f t="shared" si="18"/>
        <v>-22.790449056500744</v>
      </c>
      <c r="G224" s="2">
        <f t="shared" si="19"/>
        <v>4254.3029124291697</v>
      </c>
    </row>
    <row r="225" spans="2:7" x14ac:dyDescent="0.25">
      <c r="B225">
        <v>216</v>
      </c>
      <c r="C225" s="2">
        <f t="shared" si="20"/>
        <v>4254.3029124291697</v>
      </c>
      <c r="D225" s="2">
        <f t="shared" si="16"/>
        <v>-37.047426928119663</v>
      </c>
      <c r="E225" s="2">
        <f t="shared" si="17"/>
        <v>-14.181009708097248</v>
      </c>
      <c r="F225" s="2">
        <f t="shared" si="18"/>
        <v>-22.866417220022413</v>
      </c>
      <c r="G225" s="2">
        <f t="shared" si="19"/>
        <v>4231.4364952091473</v>
      </c>
    </row>
    <row r="226" spans="2:7" x14ac:dyDescent="0.25">
      <c r="B226">
        <v>217</v>
      </c>
      <c r="C226" s="2">
        <f t="shared" si="20"/>
        <v>4231.4364952091473</v>
      </c>
      <c r="D226" s="2">
        <f t="shared" si="16"/>
        <v>-37.047426928119663</v>
      </c>
      <c r="E226" s="2">
        <f t="shared" si="17"/>
        <v>-14.104788317363841</v>
      </c>
      <c r="F226" s="2">
        <f t="shared" si="18"/>
        <v>-22.942638610755818</v>
      </c>
      <c r="G226" s="2">
        <f t="shared" si="19"/>
        <v>4208.4938565983912</v>
      </c>
    </row>
    <row r="227" spans="2:7" x14ac:dyDescent="0.25">
      <c r="B227">
        <v>218</v>
      </c>
      <c r="C227" s="2">
        <f t="shared" si="20"/>
        <v>4208.4938565983912</v>
      </c>
      <c r="D227" s="2">
        <f t="shared" si="16"/>
        <v>-37.047426928119663</v>
      </c>
      <c r="E227" s="2">
        <f t="shared" si="17"/>
        <v>-14.028312855327989</v>
      </c>
      <c r="F227" s="2">
        <f t="shared" si="18"/>
        <v>-23.019114072791673</v>
      </c>
      <c r="G227" s="2">
        <f t="shared" si="19"/>
        <v>4185.4747425255991</v>
      </c>
    </row>
    <row r="228" spans="2:7" x14ac:dyDescent="0.25">
      <c r="B228">
        <v>219</v>
      </c>
      <c r="C228" s="2">
        <f t="shared" si="20"/>
        <v>4185.4747425255991</v>
      </c>
      <c r="D228" s="2">
        <f t="shared" si="16"/>
        <v>-37.047426928119663</v>
      </c>
      <c r="E228" s="2">
        <f t="shared" si="17"/>
        <v>-13.951582475085349</v>
      </c>
      <c r="F228" s="2">
        <f t="shared" si="18"/>
        <v>-23.09584445303431</v>
      </c>
      <c r="G228" s="2">
        <f t="shared" si="19"/>
        <v>4162.3788980725649</v>
      </c>
    </row>
    <row r="229" spans="2:7" x14ac:dyDescent="0.25">
      <c r="B229">
        <v>220</v>
      </c>
      <c r="C229" s="2">
        <f t="shared" si="20"/>
        <v>4162.3788980725649</v>
      </c>
      <c r="D229" s="2">
        <f t="shared" si="16"/>
        <v>-37.047426928119663</v>
      </c>
      <c r="E229" s="2">
        <f t="shared" si="17"/>
        <v>-13.874596326908568</v>
      </c>
      <c r="F229" s="2">
        <f t="shared" si="18"/>
        <v>-23.172830601211093</v>
      </c>
      <c r="G229" s="2">
        <f t="shared" si="19"/>
        <v>4139.2060674713539</v>
      </c>
    </row>
    <row r="230" spans="2:7" x14ac:dyDescent="0.25">
      <c r="B230">
        <v>221</v>
      </c>
      <c r="C230" s="2">
        <f t="shared" si="20"/>
        <v>4139.2060674713539</v>
      </c>
      <c r="D230" s="2">
        <f t="shared" si="16"/>
        <v>-37.047426928119663</v>
      </c>
      <c r="E230" s="2">
        <f t="shared" si="17"/>
        <v>-13.797353558237862</v>
      </c>
      <c r="F230" s="2">
        <f t="shared" si="18"/>
        <v>-23.250073369881793</v>
      </c>
      <c r="G230" s="2">
        <f t="shared" si="19"/>
        <v>4115.9559941014722</v>
      </c>
    </row>
    <row r="231" spans="2:7" x14ac:dyDescent="0.25">
      <c r="B231">
        <v>222</v>
      </c>
      <c r="C231" s="2">
        <f t="shared" si="20"/>
        <v>4115.9559941014722</v>
      </c>
      <c r="D231" s="2">
        <f t="shared" si="16"/>
        <v>-37.047426928119663</v>
      </c>
      <c r="E231" s="2">
        <f t="shared" si="17"/>
        <v>-13.719853313671592</v>
      </c>
      <c r="F231" s="2">
        <f t="shared" si="18"/>
        <v>-23.32757361444807</v>
      </c>
      <c r="G231" s="2">
        <f t="shared" si="19"/>
        <v>4092.628420487024</v>
      </c>
    </row>
    <row r="232" spans="2:7" x14ac:dyDescent="0.25">
      <c r="B232">
        <v>223</v>
      </c>
      <c r="C232" s="2">
        <f t="shared" si="20"/>
        <v>4092.628420487024</v>
      </c>
      <c r="D232" s="2">
        <f t="shared" si="16"/>
        <v>-37.047426928119663</v>
      </c>
      <c r="E232" s="2">
        <f t="shared" si="17"/>
        <v>-13.642094734956764</v>
      </c>
      <c r="F232" s="2">
        <f t="shared" si="18"/>
        <v>-23.405332193162891</v>
      </c>
      <c r="G232" s="2">
        <f t="shared" si="19"/>
        <v>4069.2230882938611</v>
      </c>
    </row>
    <row r="233" spans="2:7" x14ac:dyDescent="0.25">
      <c r="B233">
        <v>224</v>
      </c>
      <c r="C233" s="2">
        <f t="shared" si="20"/>
        <v>4069.2230882938611</v>
      </c>
      <c r="D233" s="2">
        <f t="shared" si="16"/>
        <v>-37.047426928119663</v>
      </c>
      <c r="E233" s="2">
        <f t="shared" si="17"/>
        <v>-13.564076960979554</v>
      </c>
      <c r="F233" s="2">
        <f t="shared" si="18"/>
        <v>-23.483349967140107</v>
      </c>
      <c r="G233" s="2">
        <f t="shared" si="19"/>
        <v>4045.7397383267212</v>
      </c>
    </row>
    <row r="234" spans="2:7" x14ac:dyDescent="0.25">
      <c r="B234">
        <v>225</v>
      </c>
      <c r="C234" s="2">
        <f t="shared" si="20"/>
        <v>4045.7397383267212</v>
      </c>
      <c r="D234" s="2">
        <f t="shared" si="16"/>
        <v>-37.047426928119663</v>
      </c>
      <c r="E234" s="2">
        <f t="shared" si="17"/>
        <v>-13.485799127755755</v>
      </c>
      <c r="F234" s="2">
        <f t="shared" si="18"/>
        <v>-23.561627800363905</v>
      </c>
      <c r="G234" s="2">
        <f t="shared" si="19"/>
        <v>4022.1781105263572</v>
      </c>
    </row>
    <row r="235" spans="2:7" x14ac:dyDescent="0.25">
      <c r="B235">
        <v>226</v>
      </c>
      <c r="C235" s="2">
        <f t="shared" si="20"/>
        <v>4022.1781105263572</v>
      </c>
      <c r="D235" s="2">
        <f t="shared" si="16"/>
        <v>-37.047426928119663</v>
      </c>
      <c r="E235" s="2">
        <f t="shared" si="17"/>
        <v>-13.407260368421209</v>
      </c>
      <c r="F235" s="2">
        <f t="shared" si="18"/>
        <v>-23.640166559698454</v>
      </c>
      <c r="G235" s="2">
        <f t="shared" si="19"/>
        <v>3998.5379439666585</v>
      </c>
    </row>
    <row r="236" spans="2:7" x14ac:dyDescent="0.25">
      <c r="B236">
        <v>227</v>
      </c>
      <c r="C236" s="2">
        <f t="shared" si="20"/>
        <v>3998.5379439666585</v>
      </c>
      <c r="D236" s="2">
        <f t="shared" si="16"/>
        <v>-37.047426928119663</v>
      </c>
      <c r="E236" s="2">
        <f t="shared" si="17"/>
        <v>-13.328459813222214</v>
      </c>
      <c r="F236" s="2">
        <f t="shared" si="18"/>
        <v>-23.718967114897445</v>
      </c>
      <c r="G236" s="2">
        <f t="shared" si="19"/>
        <v>3974.8189768517609</v>
      </c>
    </row>
    <row r="237" spans="2:7" x14ac:dyDescent="0.25">
      <c r="B237">
        <v>228</v>
      </c>
      <c r="C237" s="2">
        <f t="shared" si="20"/>
        <v>3974.8189768517609</v>
      </c>
      <c r="D237" s="2">
        <f t="shared" si="16"/>
        <v>-37.047426928119663</v>
      </c>
      <c r="E237" s="2">
        <f t="shared" si="17"/>
        <v>-13.249396589505887</v>
      </c>
      <c r="F237" s="2">
        <f t="shared" si="18"/>
        <v>-23.798030338613774</v>
      </c>
      <c r="G237" s="2">
        <f t="shared" si="19"/>
        <v>3951.020946513147</v>
      </c>
    </row>
    <row r="238" spans="2:7" x14ac:dyDescent="0.25">
      <c r="B238">
        <v>229</v>
      </c>
      <c r="C238" s="2">
        <f t="shared" si="20"/>
        <v>3951.020946513147</v>
      </c>
      <c r="D238" s="2">
        <f t="shared" si="16"/>
        <v>-37.047426928119663</v>
      </c>
      <c r="E238" s="2">
        <f t="shared" si="17"/>
        <v>-13.170069821710511</v>
      </c>
      <c r="F238" s="2">
        <f t="shared" si="18"/>
        <v>-23.877357106409153</v>
      </c>
      <c r="G238" s="2">
        <f t="shared" si="19"/>
        <v>3927.1435894067376</v>
      </c>
    </row>
    <row r="239" spans="2:7" x14ac:dyDescent="0.25">
      <c r="B239">
        <v>230</v>
      </c>
      <c r="C239" s="2">
        <f t="shared" si="20"/>
        <v>3927.1435894067376</v>
      </c>
      <c r="D239" s="2">
        <f t="shared" si="16"/>
        <v>-37.047426928119663</v>
      </c>
      <c r="E239" s="2">
        <f t="shared" si="17"/>
        <v>-13.090478631355811</v>
      </c>
      <c r="F239" s="2">
        <f t="shared" si="18"/>
        <v>-23.956948296763851</v>
      </c>
      <c r="G239" s="2">
        <f t="shared" si="19"/>
        <v>3903.1866411099736</v>
      </c>
    </row>
    <row r="240" spans="2:7" x14ac:dyDescent="0.25">
      <c r="B240">
        <v>231</v>
      </c>
      <c r="C240" s="2">
        <f t="shared" si="20"/>
        <v>3903.1866411099736</v>
      </c>
      <c r="D240" s="2">
        <f t="shared" si="16"/>
        <v>-37.047426928119663</v>
      </c>
      <c r="E240" s="2">
        <f t="shared" si="17"/>
        <v>-13.010622137033266</v>
      </c>
      <c r="F240" s="2">
        <f t="shared" si="18"/>
        <v>-24.036804791086393</v>
      </c>
      <c r="G240" s="2">
        <f t="shared" si="19"/>
        <v>3879.1498363188871</v>
      </c>
    </row>
    <row r="241" spans="2:7" x14ac:dyDescent="0.25">
      <c r="B241">
        <v>232</v>
      </c>
      <c r="C241" s="2">
        <f t="shared" si="20"/>
        <v>3879.1498363188871</v>
      </c>
      <c r="D241" s="2">
        <f t="shared" si="16"/>
        <v>-37.047426928119663</v>
      </c>
      <c r="E241" s="2">
        <f t="shared" si="17"/>
        <v>-12.930499454396312</v>
      </c>
      <c r="F241" s="2">
        <f t="shared" si="18"/>
        <v>-24.116927473723351</v>
      </c>
      <c r="G241" s="2">
        <f t="shared" si="19"/>
        <v>3855.0329088451635</v>
      </c>
    </row>
    <row r="242" spans="2:7" x14ac:dyDescent="0.25">
      <c r="B242">
        <v>233</v>
      </c>
      <c r="C242" s="2">
        <f t="shared" si="20"/>
        <v>3855.0329088451635</v>
      </c>
      <c r="D242" s="2">
        <f t="shared" si="16"/>
        <v>-37.047426928119663</v>
      </c>
      <c r="E242" s="2">
        <f t="shared" si="17"/>
        <v>-12.850109696150568</v>
      </c>
      <c r="F242" s="2">
        <f t="shared" si="18"/>
        <v>-24.197317231969091</v>
      </c>
      <c r="G242" s="2">
        <f t="shared" si="19"/>
        <v>3830.8355916131945</v>
      </c>
    </row>
    <row r="243" spans="2:7" x14ac:dyDescent="0.25">
      <c r="B243">
        <v>234</v>
      </c>
      <c r="C243" s="2">
        <f t="shared" si="20"/>
        <v>3830.8355916131945</v>
      </c>
      <c r="D243" s="2">
        <f t="shared" si="16"/>
        <v>-37.047426928119663</v>
      </c>
      <c r="E243" s="2">
        <f t="shared" si="17"/>
        <v>-12.769451972044005</v>
      </c>
      <c r="F243" s="2">
        <f t="shared" si="18"/>
        <v>-24.277974956075653</v>
      </c>
      <c r="G243" s="2">
        <f t="shared" si="19"/>
        <v>3806.5576166571191</v>
      </c>
    </row>
    <row r="244" spans="2:7" x14ac:dyDescent="0.25">
      <c r="B244">
        <v>235</v>
      </c>
      <c r="C244" s="2">
        <f t="shared" si="20"/>
        <v>3806.5576166571191</v>
      </c>
      <c r="D244" s="2">
        <f t="shared" si="16"/>
        <v>-37.047426928119663</v>
      </c>
      <c r="E244" s="2">
        <f t="shared" si="17"/>
        <v>-12.688525388857084</v>
      </c>
      <c r="F244" s="2">
        <f t="shared" si="18"/>
        <v>-24.358901539262575</v>
      </c>
      <c r="G244" s="2">
        <f t="shared" si="19"/>
        <v>3782.1987151178564</v>
      </c>
    </row>
    <row r="245" spans="2:7" x14ac:dyDescent="0.25">
      <c r="B245">
        <v>236</v>
      </c>
      <c r="C245" s="2">
        <f t="shared" si="20"/>
        <v>3782.1987151178564</v>
      </c>
      <c r="D245" s="2">
        <f t="shared" si="16"/>
        <v>-37.047426928119663</v>
      </c>
      <c r="E245" s="2">
        <f t="shared" si="17"/>
        <v>-12.607329050392877</v>
      </c>
      <c r="F245" s="2">
        <f t="shared" si="18"/>
        <v>-24.440097877726782</v>
      </c>
      <c r="G245" s="2">
        <f t="shared" si="19"/>
        <v>3757.7586172401298</v>
      </c>
    </row>
    <row r="246" spans="2:7" x14ac:dyDescent="0.25">
      <c r="B246">
        <v>237</v>
      </c>
      <c r="C246" s="2">
        <f t="shared" si="20"/>
        <v>3757.7586172401298</v>
      </c>
      <c r="D246" s="2">
        <f t="shared" si="16"/>
        <v>-37.047426928119663</v>
      </c>
      <c r="E246" s="2">
        <f t="shared" si="17"/>
        <v>-12.525862057467121</v>
      </c>
      <c r="F246" s="2">
        <f t="shared" si="18"/>
        <v>-24.52156487065254</v>
      </c>
      <c r="G246" s="2">
        <f t="shared" si="19"/>
        <v>3733.2370523694772</v>
      </c>
    </row>
    <row r="247" spans="2:7" x14ac:dyDescent="0.25">
      <c r="B247">
        <v>238</v>
      </c>
      <c r="C247" s="2">
        <f t="shared" si="20"/>
        <v>3733.2370523694772</v>
      </c>
      <c r="D247" s="2">
        <f t="shared" si="16"/>
        <v>-37.047426928119663</v>
      </c>
      <c r="E247" s="2">
        <f t="shared" si="17"/>
        <v>-12.444123507898279</v>
      </c>
      <c r="F247" s="2">
        <f t="shared" si="18"/>
        <v>-24.60330342022138</v>
      </c>
      <c r="G247" s="2">
        <f t="shared" si="19"/>
        <v>3708.6337489492557</v>
      </c>
    </row>
    <row r="248" spans="2:7" x14ac:dyDescent="0.25">
      <c r="B248">
        <v>239</v>
      </c>
      <c r="C248" s="2">
        <f t="shared" si="20"/>
        <v>3708.6337489492557</v>
      </c>
      <c r="D248" s="2">
        <f t="shared" si="16"/>
        <v>-37.047426928119663</v>
      </c>
      <c r="E248" s="2">
        <f t="shared" si="17"/>
        <v>-12.362112496497542</v>
      </c>
      <c r="F248" s="2">
        <f t="shared" si="18"/>
        <v>-24.685314431622121</v>
      </c>
      <c r="G248" s="2">
        <f t="shared" si="19"/>
        <v>3683.9484345176338</v>
      </c>
    </row>
    <row r="249" spans="2:7" x14ac:dyDescent="0.25">
      <c r="B249">
        <v>240</v>
      </c>
      <c r="C249" s="2">
        <f t="shared" si="20"/>
        <v>3683.9484345176338</v>
      </c>
      <c r="D249" s="2">
        <f t="shared" si="16"/>
        <v>-37.047426928119663</v>
      </c>
      <c r="E249" s="2">
        <f t="shared" si="17"/>
        <v>-12.2798281150588</v>
      </c>
      <c r="F249" s="2">
        <f t="shared" si="18"/>
        <v>-24.767598813060857</v>
      </c>
      <c r="G249" s="2">
        <f t="shared" si="19"/>
        <v>3659.1808357045729</v>
      </c>
    </row>
    <row r="250" spans="2:7" x14ac:dyDescent="0.25">
      <c r="B250">
        <v>241</v>
      </c>
      <c r="C250" s="2">
        <f t="shared" si="20"/>
        <v>3659.1808357045729</v>
      </c>
      <c r="D250" s="2">
        <f t="shared" si="16"/>
        <v>-37.047426928119663</v>
      </c>
      <c r="E250" s="2">
        <f t="shared" si="17"/>
        <v>-12.197269452348596</v>
      </c>
      <c r="F250" s="2">
        <f t="shared" si="18"/>
        <v>-24.850157475771063</v>
      </c>
      <c r="G250" s="2">
        <f t="shared" si="19"/>
        <v>3634.3306782288018</v>
      </c>
    </row>
    <row r="251" spans="2:7" x14ac:dyDescent="0.25">
      <c r="B251">
        <v>242</v>
      </c>
      <c r="C251" s="2">
        <f t="shared" si="20"/>
        <v>3634.3306782288018</v>
      </c>
      <c r="D251" s="2">
        <f t="shared" si="16"/>
        <v>-37.047426928119663</v>
      </c>
      <c r="E251" s="2">
        <f t="shared" si="17"/>
        <v>-12.114435594096026</v>
      </c>
      <c r="F251" s="2">
        <f t="shared" si="18"/>
        <v>-24.932991334023633</v>
      </c>
      <c r="G251" s="2">
        <f t="shared" si="19"/>
        <v>3609.3976868947784</v>
      </c>
    </row>
    <row r="252" spans="2:7" x14ac:dyDescent="0.25">
      <c r="B252">
        <v>243</v>
      </c>
      <c r="C252" s="2">
        <f t="shared" si="20"/>
        <v>3609.3976868947784</v>
      </c>
      <c r="D252" s="2">
        <f t="shared" si="16"/>
        <v>-37.047426928119663</v>
      </c>
      <c r="E252" s="2">
        <f t="shared" si="17"/>
        <v>-12.031325622982616</v>
      </c>
      <c r="F252" s="2">
        <f t="shared" si="18"/>
        <v>-25.016101305137045</v>
      </c>
      <c r="G252" s="2">
        <f t="shared" si="19"/>
        <v>3584.3815855896414</v>
      </c>
    </row>
    <row r="253" spans="2:7" x14ac:dyDescent="0.25">
      <c r="B253">
        <v>244</v>
      </c>
      <c r="C253" s="2">
        <f t="shared" si="20"/>
        <v>3584.3815855896414</v>
      </c>
      <c r="D253" s="2">
        <f t="shared" si="16"/>
        <v>-37.047426928119663</v>
      </c>
      <c r="E253" s="2">
        <f t="shared" si="17"/>
        <v>-11.947938618632158</v>
      </c>
      <c r="F253" s="2">
        <f t="shared" si="18"/>
        <v>-25.099488309487501</v>
      </c>
      <c r="G253" s="2">
        <f t="shared" si="19"/>
        <v>3559.2820972801537</v>
      </c>
    </row>
    <row r="254" spans="2:7" x14ac:dyDescent="0.25">
      <c r="B254">
        <v>245</v>
      </c>
      <c r="C254" s="2">
        <f t="shared" si="20"/>
        <v>3559.2820972801537</v>
      </c>
      <c r="D254" s="2">
        <f t="shared" si="16"/>
        <v>-37.047426928119663</v>
      </c>
      <c r="E254" s="2">
        <f t="shared" si="17"/>
        <v>-11.864273657600533</v>
      </c>
      <c r="F254" s="2">
        <f t="shared" si="18"/>
        <v>-25.183153270519128</v>
      </c>
      <c r="G254" s="2">
        <f t="shared" si="19"/>
        <v>3534.0989440096346</v>
      </c>
    </row>
    <row r="255" spans="2:7" x14ac:dyDescent="0.25">
      <c r="B255">
        <v>246</v>
      </c>
      <c r="C255" s="2">
        <f t="shared" si="20"/>
        <v>3534.0989440096346</v>
      </c>
      <c r="D255" s="2">
        <f t="shared" si="16"/>
        <v>-37.047426928119663</v>
      </c>
      <c r="E255" s="2">
        <f t="shared" si="17"/>
        <v>-11.780329813365469</v>
      </c>
      <c r="F255" s="2">
        <f t="shared" si="18"/>
        <v>-25.26709711475419</v>
      </c>
      <c r="G255" s="2">
        <f t="shared" si="19"/>
        <v>3508.8318468948805</v>
      </c>
    </row>
    <row r="256" spans="2:7" x14ac:dyDescent="0.25">
      <c r="B256">
        <v>247</v>
      </c>
      <c r="C256" s="2">
        <f t="shared" si="20"/>
        <v>3508.8318468948805</v>
      </c>
      <c r="D256" s="2">
        <f t="shared" si="16"/>
        <v>-37.047426928119663</v>
      </c>
      <c r="E256" s="2">
        <f t="shared" si="17"/>
        <v>-11.696106156316288</v>
      </c>
      <c r="F256" s="2">
        <f t="shared" si="18"/>
        <v>-25.351320771803373</v>
      </c>
      <c r="G256" s="2">
        <f t="shared" si="19"/>
        <v>3483.4805261230772</v>
      </c>
    </row>
    <row r="257" spans="2:7" x14ac:dyDescent="0.25">
      <c r="B257">
        <v>248</v>
      </c>
      <c r="C257" s="2">
        <f t="shared" si="20"/>
        <v>3483.4805261230772</v>
      </c>
      <c r="D257" s="2">
        <f t="shared" si="16"/>
        <v>-37.047426928119663</v>
      </c>
      <c r="E257" s="2">
        <f t="shared" si="17"/>
        <v>-11.611601753743612</v>
      </c>
      <c r="F257" s="2">
        <f t="shared" si="18"/>
        <v>-25.435825174376049</v>
      </c>
      <c r="G257" s="2">
        <f t="shared" si="19"/>
        <v>3458.0447009487011</v>
      </c>
    </row>
    <row r="258" spans="2:7" x14ac:dyDescent="0.25">
      <c r="B258">
        <v>249</v>
      </c>
      <c r="C258" s="2">
        <f t="shared" si="20"/>
        <v>3458.0447009487011</v>
      </c>
      <c r="D258" s="2">
        <f t="shared" si="16"/>
        <v>-37.047426928119663</v>
      </c>
      <c r="E258" s="2">
        <f t="shared" si="17"/>
        <v>-11.526815669829023</v>
      </c>
      <c r="F258" s="2">
        <f t="shared" si="18"/>
        <v>-25.520611258290639</v>
      </c>
      <c r="G258" s="2">
        <f t="shared" si="19"/>
        <v>3432.5240896904106</v>
      </c>
    </row>
    <row r="259" spans="2:7" x14ac:dyDescent="0.25">
      <c r="B259">
        <v>250</v>
      </c>
      <c r="C259" s="2">
        <f t="shared" si="20"/>
        <v>3432.5240896904106</v>
      </c>
      <c r="D259" s="2">
        <f t="shared" si="16"/>
        <v>-37.047426928119663</v>
      </c>
      <c r="E259" s="2">
        <f t="shared" si="17"/>
        <v>-11.441746965634721</v>
      </c>
      <c r="F259" s="2">
        <f t="shared" si="18"/>
        <v>-25.605679962484935</v>
      </c>
      <c r="G259" s="2">
        <f t="shared" si="19"/>
        <v>3406.9184097279258</v>
      </c>
    </row>
    <row r="260" spans="2:7" x14ac:dyDescent="0.25">
      <c r="B260">
        <v>251</v>
      </c>
      <c r="C260" s="2">
        <f t="shared" si="20"/>
        <v>3406.9184097279258</v>
      </c>
      <c r="D260" s="2">
        <f t="shared" si="16"/>
        <v>-37.047426928119663</v>
      </c>
      <c r="E260" s="2">
        <f t="shared" si="17"/>
        <v>-11.356394699093107</v>
      </c>
      <c r="F260" s="2">
        <f t="shared" si="18"/>
        <v>-25.691032229026554</v>
      </c>
      <c r="G260" s="2">
        <f t="shared" si="19"/>
        <v>3381.2273774988994</v>
      </c>
    </row>
    <row r="261" spans="2:7" x14ac:dyDescent="0.25">
      <c r="B261">
        <v>252</v>
      </c>
      <c r="C261" s="2">
        <f t="shared" si="20"/>
        <v>3381.2273774988994</v>
      </c>
      <c r="D261" s="2">
        <f t="shared" si="16"/>
        <v>-37.047426928119663</v>
      </c>
      <c r="E261" s="2">
        <f t="shared" si="17"/>
        <v>-11.270757924996349</v>
      </c>
      <c r="F261" s="2">
        <f t="shared" si="18"/>
        <v>-25.77666900312331</v>
      </c>
      <c r="G261" s="2">
        <f t="shared" si="19"/>
        <v>3355.4507084957759</v>
      </c>
    </row>
    <row r="262" spans="2:7" x14ac:dyDescent="0.25">
      <c r="B262">
        <v>253</v>
      </c>
      <c r="C262" s="2">
        <f t="shared" si="20"/>
        <v>3355.4507084957759</v>
      </c>
      <c r="D262" s="2">
        <f t="shared" si="16"/>
        <v>-37.047426928119663</v>
      </c>
      <c r="E262" s="2">
        <f t="shared" si="17"/>
        <v>-11.184835694985939</v>
      </c>
      <c r="F262" s="2">
        <f t="shared" si="18"/>
        <v>-25.862591233133717</v>
      </c>
      <c r="G262" s="2">
        <f t="shared" si="19"/>
        <v>3329.5881172626423</v>
      </c>
    </row>
    <row r="263" spans="2:7" x14ac:dyDescent="0.25">
      <c r="B263">
        <v>254</v>
      </c>
      <c r="C263" s="2">
        <f t="shared" si="20"/>
        <v>3329.5881172626423</v>
      </c>
      <c r="D263" s="2">
        <f t="shared" si="16"/>
        <v>-37.047426928119663</v>
      </c>
      <c r="E263" s="2">
        <f t="shared" si="17"/>
        <v>-11.098627057542158</v>
      </c>
      <c r="F263" s="2">
        <f t="shared" si="18"/>
        <v>-25.948799870577499</v>
      </c>
      <c r="G263" s="2">
        <f t="shared" si="19"/>
        <v>3303.6393173920646</v>
      </c>
    </row>
    <row r="264" spans="2:7" x14ac:dyDescent="0.25">
      <c r="B264">
        <v>255</v>
      </c>
      <c r="C264" s="2">
        <f t="shared" si="20"/>
        <v>3303.6393173920646</v>
      </c>
      <c r="D264" s="2">
        <f t="shared" si="16"/>
        <v>-37.047426928119663</v>
      </c>
      <c r="E264" s="2">
        <f t="shared" si="17"/>
        <v>-11.012131057973567</v>
      </c>
      <c r="F264" s="2">
        <f t="shared" si="18"/>
        <v>-26.03529587014609</v>
      </c>
      <c r="G264" s="2">
        <f t="shared" si="19"/>
        <v>3277.6040215219186</v>
      </c>
    </row>
    <row r="265" spans="2:7" x14ac:dyDescent="0.25">
      <c r="B265">
        <v>256</v>
      </c>
      <c r="C265" s="2">
        <f t="shared" si="20"/>
        <v>3277.6040215219186</v>
      </c>
      <c r="D265" s="2">
        <f t="shared" si="16"/>
        <v>-37.047426928119663</v>
      </c>
      <c r="E265" s="2">
        <f t="shared" si="17"/>
        <v>-10.925346738406416</v>
      </c>
      <c r="F265" s="2">
        <f t="shared" si="18"/>
        <v>-26.122080189713248</v>
      </c>
      <c r="G265" s="2">
        <f t="shared" si="19"/>
        <v>3251.4819413322052</v>
      </c>
    </row>
    <row r="266" spans="2:7" x14ac:dyDescent="0.25">
      <c r="B266">
        <v>257</v>
      </c>
      <c r="C266" s="2">
        <f t="shared" si="20"/>
        <v>3251.4819413322052</v>
      </c>
      <c r="D266" s="2">
        <f t="shared" si="16"/>
        <v>-37.047426928119663</v>
      </c>
      <c r="E266" s="2">
        <f t="shared" si="17"/>
        <v>-10.838273137774038</v>
      </c>
      <c r="F266" s="2">
        <f t="shared" si="18"/>
        <v>-26.209153790345621</v>
      </c>
      <c r="G266" s="2">
        <f t="shared" si="19"/>
        <v>3225.2727875418595</v>
      </c>
    </row>
    <row r="267" spans="2:7" x14ac:dyDescent="0.25">
      <c r="B267">
        <v>258</v>
      </c>
      <c r="C267" s="2">
        <f t="shared" si="20"/>
        <v>3225.2727875418595</v>
      </c>
      <c r="D267" s="2">
        <f t="shared" ref="D267:D330" si="21">PMT($D$4/12,$D$5*12,$D$3)</f>
        <v>-37.047426928119663</v>
      </c>
      <c r="E267" s="2">
        <f t="shared" ref="E267:E330" si="22">IPMT($D$4/12,B267,$D$5*12,$D$3)</f>
        <v>-10.750909291806217</v>
      </c>
      <c r="F267" s="2">
        <f t="shared" ref="F267:F330" si="23">PPMT($D$4/12,B267,$D$5*12,$D$3)</f>
        <v>-26.296517636313439</v>
      </c>
      <c r="G267" s="2">
        <f t="shared" ref="G267:G330" si="24">F267+C267</f>
        <v>3198.9762699055459</v>
      </c>
    </row>
    <row r="268" spans="2:7" x14ac:dyDescent="0.25">
      <c r="B268">
        <v>259</v>
      </c>
      <c r="C268" s="2">
        <f t="shared" ref="C268:C331" si="25">G267</f>
        <v>3198.9762699055459</v>
      </c>
      <c r="D268" s="2">
        <f t="shared" si="21"/>
        <v>-37.047426928119663</v>
      </c>
      <c r="E268" s="2">
        <f t="shared" si="22"/>
        <v>-10.663254233018508</v>
      </c>
      <c r="F268" s="2">
        <f t="shared" si="23"/>
        <v>-26.384172695101153</v>
      </c>
      <c r="G268" s="2">
        <f t="shared" si="24"/>
        <v>3172.5920972104445</v>
      </c>
    </row>
    <row r="269" spans="2:7" x14ac:dyDescent="0.25">
      <c r="B269">
        <v>260</v>
      </c>
      <c r="C269" s="2">
        <f t="shared" si="25"/>
        <v>3172.5920972104445</v>
      </c>
      <c r="D269" s="2">
        <f t="shared" si="21"/>
        <v>-37.047426928119663</v>
      </c>
      <c r="E269" s="2">
        <f t="shared" si="22"/>
        <v>-10.575306990701502</v>
      </c>
      <c r="F269" s="2">
        <f t="shared" si="23"/>
        <v>-26.472119937418157</v>
      </c>
      <c r="G269" s="2">
        <f t="shared" si="24"/>
        <v>3146.1199772730265</v>
      </c>
    </row>
    <row r="270" spans="2:7" x14ac:dyDescent="0.25">
      <c r="B270">
        <v>261</v>
      </c>
      <c r="C270" s="2">
        <f t="shared" si="25"/>
        <v>3146.1199772730265</v>
      </c>
      <c r="D270" s="2">
        <f t="shared" si="21"/>
        <v>-37.047426928119663</v>
      </c>
      <c r="E270" s="2">
        <f t="shared" si="22"/>
        <v>-10.487066590910111</v>
      </c>
      <c r="F270" s="2">
        <f t="shared" si="23"/>
        <v>-26.560360337209552</v>
      </c>
      <c r="G270" s="2">
        <f t="shared" si="24"/>
        <v>3119.5596169358168</v>
      </c>
    </row>
    <row r="271" spans="2:7" x14ac:dyDescent="0.25">
      <c r="B271">
        <v>262</v>
      </c>
      <c r="C271" s="2">
        <f t="shared" si="25"/>
        <v>3119.5596169358168</v>
      </c>
      <c r="D271" s="2">
        <f t="shared" si="21"/>
        <v>-37.047426928119663</v>
      </c>
      <c r="E271" s="2">
        <f t="shared" si="22"/>
        <v>-10.398532056452744</v>
      </c>
      <c r="F271" s="2">
        <f t="shared" si="23"/>
        <v>-26.648894871666919</v>
      </c>
      <c r="G271" s="2">
        <f t="shared" si="24"/>
        <v>3092.9107220641499</v>
      </c>
    </row>
    <row r="272" spans="2:7" x14ac:dyDescent="0.25">
      <c r="B272">
        <v>263</v>
      </c>
      <c r="C272" s="2">
        <f t="shared" si="25"/>
        <v>3092.9107220641499</v>
      </c>
      <c r="D272" s="2">
        <f t="shared" si="21"/>
        <v>-37.047426928119663</v>
      </c>
      <c r="E272" s="2">
        <f t="shared" si="22"/>
        <v>-10.309702406880522</v>
      </c>
      <c r="F272" s="2">
        <f t="shared" si="23"/>
        <v>-26.737724521239141</v>
      </c>
      <c r="G272" s="2">
        <f t="shared" si="24"/>
        <v>3066.1729975429107</v>
      </c>
    </row>
    <row r="273" spans="2:7" x14ac:dyDescent="0.25">
      <c r="B273">
        <v>264</v>
      </c>
      <c r="C273" s="2">
        <f t="shared" si="25"/>
        <v>3066.1729975429107</v>
      </c>
      <c r="D273" s="2">
        <f t="shared" si="21"/>
        <v>-37.047426928119663</v>
      </c>
      <c r="E273" s="2">
        <f t="shared" si="22"/>
        <v>-10.220576658476389</v>
      </c>
      <c r="F273" s="2">
        <f t="shared" si="23"/>
        <v>-26.82685026964327</v>
      </c>
      <c r="G273" s="2">
        <f t="shared" si="24"/>
        <v>3039.3461472732674</v>
      </c>
    </row>
    <row r="274" spans="2:7" x14ac:dyDescent="0.25">
      <c r="B274">
        <v>265</v>
      </c>
      <c r="C274" s="2">
        <f t="shared" si="25"/>
        <v>3039.3461472732674</v>
      </c>
      <c r="D274" s="2">
        <f t="shared" si="21"/>
        <v>-37.047426928119663</v>
      </c>
      <c r="E274" s="2">
        <f t="shared" si="22"/>
        <v>-10.131153824244247</v>
      </c>
      <c r="F274" s="2">
        <f t="shared" si="23"/>
        <v>-26.916273103875415</v>
      </c>
      <c r="G274" s="2">
        <f t="shared" si="24"/>
        <v>3012.429874169392</v>
      </c>
    </row>
    <row r="275" spans="2:7" x14ac:dyDescent="0.25">
      <c r="B275">
        <v>266</v>
      </c>
      <c r="C275" s="2">
        <f t="shared" si="25"/>
        <v>3012.429874169392</v>
      </c>
      <c r="D275" s="2">
        <f t="shared" si="21"/>
        <v>-37.047426928119663</v>
      </c>
      <c r="E275" s="2">
        <f t="shared" si="22"/>
        <v>-10.041432913897996</v>
      </c>
      <c r="F275" s="2">
        <f t="shared" si="23"/>
        <v>-27.005994014221663</v>
      </c>
      <c r="G275" s="2">
        <f t="shared" si="24"/>
        <v>2985.4238801551701</v>
      </c>
    </row>
    <row r="276" spans="2:7" x14ac:dyDescent="0.25">
      <c r="B276">
        <v>267</v>
      </c>
      <c r="C276" s="2">
        <f t="shared" si="25"/>
        <v>2985.4238801551701</v>
      </c>
      <c r="D276" s="2">
        <f t="shared" si="21"/>
        <v>-37.047426928119663</v>
      </c>
      <c r="E276" s="2">
        <f t="shared" si="22"/>
        <v>-9.951412933850591</v>
      </c>
      <c r="F276" s="2">
        <f t="shared" si="23"/>
        <v>-27.096013994269072</v>
      </c>
      <c r="G276" s="2">
        <f t="shared" si="24"/>
        <v>2958.3278661609011</v>
      </c>
    </row>
    <row r="277" spans="2:7" x14ac:dyDescent="0.25">
      <c r="B277">
        <v>268</v>
      </c>
      <c r="C277" s="2">
        <f t="shared" si="25"/>
        <v>2958.3278661609011</v>
      </c>
      <c r="D277" s="2">
        <f t="shared" si="21"/>
        <v>-37.047426928119663</v>
      </c>
      <c r="E277" s="2">
        <f t="shared" si="22"/>
        <v>-9.8610928872030232</v>
      </c>
      <c r="F277" s="2">
        <f t="shared" si="23"/>
        <v>-27.186334040916634</v>
      </c>
      <c r="G277" s="2">
        <f t="shared" si="24"/>
        <v>2931.1415321199843</v>
      </c>
    </row>
    <row r="278" spans="2:7" x14ac:dyDescent="0.25">
      <c r="B278">
        <v>269</v>
      </c>
      <c r="C278" s="2">
        <f t="shared" si="25"/>
        <v>2931.1415321199843</v>
      </c>
      <c r="D278" s="2">
        <f t="shared" si="21"/>
        <v>-37.047426928119663</v>
      </c>
      <c r="E278" s="2">
        <f t="shared" si="22"/>
        <v>-9.7704717737333038</v>
      </c>
      <c r="F278" s="2">
        <f t="shared" si="23"/>
        <v>-27.276955154386357</v>
      </c>
      <c r="G278" s="2">
        <f t="shared" si="24"/>
        <v>2903.8645769655977</v>
      </c>
    </row>
    <row r="279" spans="2:7" x14ac:dyDescent="0.25">
      <c r="B279">
        <v>270</v>
      </c>
      <c r="C279" s="2">
        <f t="shared" si="25"/>
        <v>2903.8645769655977</v>
      </c>
      <c r="D279" s="2">
        <f t="shared" si="21"/>
        <v>-37.047426928119663</v>
      </c>
      <c r="E279" s="2">
        <f t="shared" si="22"/>
        <v>-9.6795485898853482</v>
      </c>
      <c r="F279" s="2">
        <f t="shared" si="23"/>
        <v>-27.367878338234309</v>
      </c>
      <c r="G279" s="2">
        <f t="shared" si="24"/>
        <v>2876.4966986273635</v>
      </c>
    </row>
    <row r="280" spans="2:7" x14ac:dyDescent="0.25">
      <c r="B280">
        <v>271</v>
      </c>
      <c r="C280" s="2">
        <f t="shared" si="25"/>
        <v>2876.4966986273635</v>
      </c>
      <c r="D280" s="2">
        <f t="shared" si="21"/>
        <v>-37.047426928119663</v>
      </c>
      <c r="E280" s="2">
        <f t="shared" si="22"/>
        <v>-9.5883223287579007</v>
      </c>
      <c r="F280" s="2">
        <f t="shared" si="23"/>
        <v>-27.459104599361758</v>
      </c>
      <c r="G280" s="2">
        <f t="shared" si="24"/>
        <v>2849.0375940280019</v>
      </c>
    </row>
    <row r="281" spans="2:7" x14ac:dyDescent="0.25">
      <c r="B281">
        <v>272</v>
      </c>
      <c r="C281" s="2">
        <f t="shared" si="25"/>
        <v>2849.0375940280019</v>
      </c>
      <c r="D281" s="2">
        <f t="shared" si="21"/>
        <v>-37.047426928119663</v>
      </c>
      <c r="E281" s="2">
        <f t="shared" si="22"/>
        <v>-9.4967919800933611</v>
      </c>
      <c r="F281" s="2">
        <f t="shared" si="23"/>
        <v>-27.5506349480263</v>
      </c>
      <c r="G281" s="2">
        <f t="shared" si="24"/>
        <v>2821.4869590799753</v>
      </c>
    </row>
    <row r="282" spans="2:7" x14ac:dyDescent="0.25">
      <c r="B282">
        <v>273</v>
      </c>
      <c r="C282" s="2">
        <f t="shared" si="25"/>
        <v>2821.4869590799753</v>
      </c>
      <c r="D282" s="2">
        <f t="shared" si="21"/>
        <v>-37.047426928119663</v>
      </c>
      <c r="E282" s="2">
        <f t="shared" si="22"/>
        <v>-9.4049565302666078</v>
      </c>
      <c r="F282" s="2">
        <f t="shared" si="23"/>
        <v>-27.642470397853049</v>
      </c>
      <c r="G282" s="2">
        <f t="shared" si="24"/>
        <v>2793.8444886821221</v>
      </c>
    </row>
    <row r="283" spans="2:7" x14ac:dyDescent="0.25">
      <c r="B283">
        <v>274</v>
      </c>
      <c r="C283" s="2">
        <f t="shared" si="25"/>
        <v>2793.8444886821221</v>
      </c>
      <c r="D283" s="2">
        <f t="shared" si="21"/>
        <v>-37.047426928119663</v>
      </c>
      <c r="E283" s="2">
        <f t="shared" si="22"/>
        <v>-9.3128149622737642</v>
      </c>
      <c r="F283" s="2">
        <f t="shared" si="23"/>
        <v>-27.734611965845897</v>
      </c>
      <c r="G283" s="2">
        <f t="shared" si="24"/>
        <v>2766.1098767162762</v>
      </c>
    </row>
    <row r="284" spans="2:7" x14ac:dyDescent="0.25">
      <c r="B284">
        <v>275</v>
      </c>
      <c r="C284" s="2">
        <f t="shared" si="25"/>
        <v>2766.1098767162762</v>
      </c>
      <c r="D284" s="2">
        <f t="shared" si="21"/>
        <v>-37.047426928119663</v>
      </c>
      <c r="E284" s="2">
        <f t="shared" si="22"/>
        <v>-9.2203662557209434</v>
      </c>
      <c r="F284" s="2">
        <f t="shared" si="23"/>
        <v>-27.827060672398712</v>
      </c>
      <c r="G284" s="2">
        <f t="shared" si="24"/>
        <v>2738.2828160438776</v>
      </c>
    </row>
    <row r="285" spans="2:7" x14ac:dyDescent="0.25">
      <c r="B285">
        <v>276</v>
      </c>
      <c r="C285" s="2">
        <f t="shared" si="25"/>
        <v>2738.2828160438776</v>
      </c>
      <c r="D285" s="2">
        <f t="shared" si="21"/>
        <v>-37.047426928119663</v>
      </c>
      <c r="E285" s="2">
        <f t="shared" si="22"/>
        <v>-9.1276093868129493</v>
      </c>
      <c r="F285" s="2">
        <f t="shared" si="23"/>
        <v>-27.919817541306706</v>
      </c>
      <c r="G285" s="2">
        <f t="shared" si="24"/>
        <v>2710.3629985025709</v>
      </c>
    </row>
    <row r="286" spans="2:7" x14ac:dyDescent="0.25">
      <c r="B286">
        <v>277</v>
      </c>
      <c r="C286" s="2">
        <f t="shared" si="25"/>
        <v>2710.3629985025709</v>
      </c>
      <c r="D286" s="2">
        <f t="shared" si="21"/>
        <v>-37.047426928119663</v>
      </c>
      <c r="E286" s="2">
        <f t="shared" si="22"/>
        <v>-9.0345433283419272</v>
      </c>
      <c r="F286" s="2">
        <f t="shared" si="23"/>
        <v>-28.012883599777734</v>
      </c>
      <c r="G286" s="2">
        <f t="shared" si="24"/>
        <v>2682.3501149027934</v>
      </c>
    </row>
    <row r="287" spans="2:7" x14ac:dyDescent="0.25">
      <c r="B287">
        <v>278</v>
      </c>
      <c r="C287" s="2">
        <f t="shared" si="25"/>
        <v>2682.3501149027934</v>
      </c>
      <c r="D287" s="2">
        <f t="shared" si="21"/>
        <v>-37.047426928119663</v>
      </c>
      <c r="E287" s="2">
        <f t="shared" si="22"/>
        <v>-8.9411670496760021</v>
      </c>
      <c r="F287" s="2">
        <f t="shared" si="23"/>
        <v>-28.106259878443659</v>
      </c>
      <c r="G287" s="2">
        <f t="shared" si="24"/>
        <v>2654.2438550243496</v>
      </c>
    </row>
    <row r="288" spans="2:7" x14ac:dyDescent="0.25">
      <c r="B288">
        <v>279</v>
      </c>
      <c r="C288" s="2">
        <f t="shared" si="25"/>
        <v>2654.2438550243496</v>
      </c>
      <c r="D288" s="2">
        <f t="shared" si="21"/>
        <v>-37.047426928119663</v>
      </c>
      <c r="E288" s="2">
        <f t="shared" si="22"/>
        <v>-8.847479516747855</v>
      </c>
      <c r="F288" s="2">
        <f t="shared" si="23"/>
        <v>-28.199947411371802</v>
      </c>
      <c r="G288" s="2">
        <f t="shared" si="24"/>
        <v>2626.0439076129778</v>
      </c>
    </row>
    <row r="289" spans="2:7" x14ac:dyDescent="0.25">
      <c r="B289">
        <v>280</v>
      </c>
      <c r="C289" s="2">
        <f t="shared" si="25"/>
        <v>2626.0439076129778</v>
      </c>
      <c r="D289" s="2">
        <f t="shared" si="21"/>
        <v>-37.047426928119663</v>
      </c>
      <c r="E289" s="2">
        <f t="shared" si="22"/>
        <v>-8.7534796920432836</v>
      </c>
      <c r="F289" s="2">
        <f t="shared" si="23"/>
        <v>-28.293947236076377</v>
      </c>
      <c r="G289" s="2">
        <f t="shared" si="24"/>
        <v>2597.7499603769015</v>
      </c>
    </row>
    <row r="290" spans="2:7" x14ac:dyDescent="0.25">
      <c r="B290">
        <v>281</v>
      </c>
      <c r="C290" s="2">
        <f t="shared" si="25"/>
        <v>2597.7499603769015</v>
      </c>
      <c r="D290" s="2">
        <f t="shared" si="21"/>
        <v>-37.047426928119663</v>
      </c>
      <c r="E290" s="2">
        <f t="shared" si="22"/>
        <v>-8.6591665345896942</v>
      </c>
      <c r="F290" s="2">
        <f t="shared" si="23"/>
        <v>-28.388260393529965</v>
      </c>
      <c r="G290" s="2">
        <f t="shared" si="24"/>
        <v>2569.3616999833716</v>
      </c>
    </row>
    <row r="291" spans="2:7" x14ac:dyDescent="0.25">
      <c r="B291">
        <v>282</v>
      </c>
      <c r="C291" s="2">
        <f t="shared" si="25"/>
        <v>2569.3616999833716</v>
      </c>
      <c r="D291" s="2">
        <f t="shared" si="21"/>
        <v>-37.047426928119663</v>
      </c>
      <c r="E291" s="2">
        <f t="shared" si="22"/>
        <v>-8.5645389999445953</v>
      </c>
      <c r="F291" s="2">
        <f t="shared" si="23"/>
        <v>-28.482887928175067</v>
      </c>
      <c r="G291" s="2">
        <f t="shared" si="24"/>
        <v>2540.8788120551967</v>
      </c>
    </row>
    <row r="292" spans="2:7" x14ac:dyDescent="0.25">
      <c r="B292">
        <v>283</v>
      </c>
      <c r="C292" s="2">
        <f t="shared" si="25"/>
        <v>2540.8788120551967</v>
      </c>
      <c r="D292" s="2">
        <f t="shared" si="21"/>
        <v>-37.047426928119663</v>
      </c>
      <c r="E292" s="2">
        <f t="shared" si="22"/>
        <v>-8.46959604018401</v>
      </c>
      <c r="F292" s="2">
        <f t="shared" si="23"/>
        <v>-28.577830887935647</v>
      </c>
      <c r="G292" s="2">
        <f t="shared" si="24"/>
        <v>2512.3009811672609</v>
      </c>
    </row>
    <row r="293" spans="2:7" x14ac:dyDescent="0.25">
      <c r="B293">
        <v>284</v>
      </c>
      <c r="C293" s="2">
        <f t="shared" si="25"/>
        <v>2512.3009811672609</v>
      </c>
      <c r="D293" s="2">
        <f t="shared" si="21"/>
        <v>-37.047426928119663</v>
      </c>
      <c r="E293" s="2">
        <f t="shared" si="22"/>
        <v>-8.3743366038908924</v>
      </c>
      <c r="F293" s="2">
        <f t="shared" si="23"/>
        <v>-28.673090324228767</v>
      </c>
      <c r="G293" s="2">
        <f t="shared" si="24"/>
        <v>2483.6278908430322</v>
      </c>
    </row>
    <row r="294" spans="2:7" x14ac:dyDescent="0.25">
      <c r="B294">
        <v>285</v>
      </c>
      <c r="C294" s="2">
        <f t="shared" si="25"/>
        <v>2483.6278908430322</v>
      </c>
      <c r="D294" s="2">
        <f t="shared" si="21"/>
        <v>-37.047426928119663</v>
      </c>
      <c r="E294" s="2">
        <f t="shared" si="22"/>
        <v>-8.2787596361434641</v>
      </c>
      <c r="F294" s="2">
        <f t="shared" si="23"/>
        <v>-28.768667291976193</v>
      </c>
      <c r="G294" s="2">
        <f t="shared" si="24"/>
        <v>2454.8592235510559</v>
      </c>
    </row>
    <row r="295" spans="2:7" x14ac:dyDescent="0.25">
      <c r="B295">
        <v>286</v>
      </c>
      <c r="C295" s="2">
        <f t="shared" si="25"/>
        <v>2454.8592235510559</v>
      </c>
      <c r="D295" s="2">
        <f t="shared" si="21"/>
        <v>-37.047426928119663</v>
      </c>
      <c r="E295" s="2">
        <f t="shared" si="22"/>
        <v>-8.1828640785035418</v>
      </c>
      <c r="F295" s="2">
        <f t="shared" si="23"/>
        <v>-28.864562849616117</v>
      </c>
      <c r="G295" s="2">
        <f t="shared" si="24"/>
        <v>2425.9946607014399</v>
      </c>
    </row>
    <row r="296" spans="2:7" x14ac:dyDescent="0.25">
      <c r="B296">
        <v>287</v>
      </c>
      <c r="C296" s="2">
        <f t="shared" si="25"/>
        <v>2425.9946607014399</v>
      </c>
      <c r="D296" s="2">
        <f t="shared" si="21"/>
        <v>-37.047426928119663</v>
      </c>
      <c r="E296" s="2">
        <f t="shared" si="22"/>
        <v>-8.0866488690048222</v>
      </c>
      <c r="F296" s="2">
        <f t="shared" si="23"/>
        <v>-28.960778059114837</v>
      </c>
      <c r="G296" s="2">
        <f t="shared" si="24"/>
        <v>2397.0338826423249</v>
      </c>
    </row>
    <row r="297" spans="2:7" x14ac:dyDescent="0.25">
      <c r="B297">
        <v>288</v>
      </c>
      <c r="C297" s="2">
        <f t="shared" si="25"/>
        <v>2397.0338826423249</v>
      </c>
      <c r="D297" s="2">
        <f t="shared" si="21"/>
        <v>-37.047426928119663</v>
      </c>
      <c r="E297" s="2">
        <f t="shared" si="22"/>
        <v>-7.9901129421411063</v>
      </c>
      <c r="F297" s="2">
        <f t="shared" si="23"/>
        <v>-29.057313985978553</v>
      </c>
      <c r="G297" s="2">
        <f t="shared" si="24"/>
        <v>2367.9765686563464</v>
      </c>
    </row>
    <row r="298" spans="2:7" x14ac:dyDescent="0.25">
      <c r="B298">
        <v>289</v>
      </c>
      <c r="C298" s="2">
        <f t="shared" si="25"/>
        <v>2367.9765686563464</v>
      </c>
      <c r="D298" s="2">
        <f t="shared" si="21"/>
        <v>-37.047426928119663</v>
      </c>
      <c r="E298" s="2">
        <f t="shared" si="22"/>
        <v>-7.8932552288545113</v>
      </c>
      <c r="F298" s="2">
        <f t="shared" si="23"/>
        <v>-29.154171699265149</v>
      </c>
      <c r="G298" s="2">
        <f t="shared" si="24"/>
        <v>2338.8223969570813</v>
      </c>
    </row>
    <row r="299" spans="2:7" x14ac:dyDescent="0.25">
      <c r="B299">
        <v>290</v>
      </c>
      <c r="C299" s="2">
        <f t="shared" si="25"/>
        <v>2338.8223969570813</v>
      </c>
      <c r="D299" s="2">
        <f t="shared" si="21"/>
        <v>-37.047426928119663</v>
      </c>
      <c r="E299" s="2">
        <f t="shared" si="22"/>
        <v>-7.7960746565236274</v>
      </c>
      <c r="F299" s="2">
        <f t="shared" si="23"/>
        <v>-29.251352271596033</v>
      </c>
      <c r="G299" s="2">
        <f t="shared" si="24"/>
        <v>2309.5710446854855</v>
      </c>
    </row>
    <row r="300" spans="2:7" x14ac:dyDescent="0.25">
      <c r="B300">
        <v>291</v>
      </c>
      <c r="C300" s="2">
        <f t="shared" si="25"/>
        <v>2309.5710446854855</v>
      </c>
      <c r="D300" s="2">
        <f t="shared" si="21"/>
        <v>-37.047426928119663</v>
      </c>
      <c r="E300" s="2">
        <f t="shared" si="22"/>
        <v>-7.6985701489516405</v>
      </c>
      <c r="F300" s="2">
        <f t="shared" si="23"/>
        <v>-29.34885677916802</v>
      </c>
      <c r="G300" s="2">
        <f t="shared" si="24"/>
        <v>2280.2221879063177</v>
      </c>
    </row>
    <row r="301" spans="2:7" x14ac:dyDescent="0.25">
      <c r="B301">
        <v>292</v>
      </c>
      <c r="C301" s="2">
        <f t="shared" si="25"/>
        <v>2280.2221879063177</v>
      </c>
      <c r="D301" s="2">
        <f t="shared" si="21"/>
        <v>-37.047426928119663</v>
      </c>
      <c r="E301" s="2">
        <f t="shared" si="22"/>
        <v>-7.6007406263544128</v>
      </c>
      <c r="F301" s="2">
        <f t="shared" si="23"/>
        <v>-29.446686301765247</v>
      </c>
      <c r="G301" s="2">
        <f t="shared" si="24"/>
        <v>2250.7755016045526</v>
      </c>
    </row>
    <row r="302" spans="2:7" x14ac:dyDescent="0.25">
      <c r="B302">
        <v>293</v>
      </c>
      <c r="C302" s="2">
        <f t="shared" si="25"/>
        <v>2250.7755016045526</v>
      </c>
      <c r="D302" s="2">
        <f t="shared" si="21"/>
        <v>-37.047426928119663</v>
      </c>
      <c r="E302" s="2">
        <f t="shared" si="22"/>
        <v>-7.5025850053485303</v>
      </c>
      <c r="F302" s="2">
        <f t="shared" si="23"/>
        <v>-29.544841922771134</v>
      </c>
      <c r="G302" s="2">
        <f t="shared" si="24"/>
        <v>2221.2306596817816</v>
      </c>
    </row>
    <row r="303" spans="2:7" x14ac:dyDescent="0.25">
      <c r="B303">
        <v>294</v>
      </c>
      <c r="C303" s="2">
        <f t="shared" si="25"/>
        <v>2221.2306596817816</v>
      </c>
      <c r="D303" s="2">
        <f t="shared" si="21"/>
        <v>-37.047426928119663</v>
      </c>
      <c r="E303" s="2">
        <f t="shared" si="22"/>
        <v>-7.4041021989392926</v>
      </c>
      <c r="F303" s="2">
        <f t="shared" si="23"/>
        <v>-29.643324729180367</v>
      </c>
      <c r="G303" s="2">
        <f t="shared" si="24"/>
        <v>2191.5873349526014</v>
      </c>
    </row>
    <row r="304" spans="2:7" x14ac:dyDescent="0.25">
      <c r="B304">
        <v>295</v>
      </c>
      <c r="C304" s="2">
        <f t="shared" si="25"/>
        <v>2191.5873349526014</v>
      </c>
      <c r="D304" s="2">
        <f t="shared" si="21"/>
        <v>-37.047426928119663</v>
      </c>
      <c r="E304" s="2">
        <f t="shared" si="22"/>
        <v>-7.3052911165086911</v>
      </c>
      <c r="F304" s="2">
        <f t="shared" si="23"/>
        <v>-29.742135811610972</v>
      </c>
      <c r="G304" s="2">
        <f t="shared" si="24"/>
        <v>2161.8451991409906</v>
      </c>
    </row>
    <row r="305" spans="2:7" x14ac:dyDescent="0.25">
      <c r="B305">
        <v>296</v>
      </c>
      <c r="C305" s="2">
        <f t="shared" si="25"/>
        <v>2161.8451991409906</v>
      </c>
      <c r="D305" s="2">
        <f t="shared" si="21"/>
        <v>-37.047426928119663</v>
      </c>
      <c r="E305" s="2">
        <f t="shared" si="22"/>
        <v>-7.2061506638033208</v>
      </c>
      <c r="F305" s="2">
        <f t="shared" si="23"/>
        <v>-29.841276264316338</v>
      </c>
      <c r="G305" s="2">
        <f t="shared" si="24"/>
        <v>2132.0039228766741</v>
      </c>
    </row>
    <row r="306" spans="2:7" x14ac:dyDescent="0.25">
      <c r="B306">
        <v>297</v>
      </c>
      <c r="C306" s="2">
        <f t="shared" si="25"/>
        <v>2132.0039228766741</v>
      </c>
      <c r="D306" s="2">
        <f t="shared" si="21"/>
        <v>-37.047426928119663</v>
      </c>
      <c r="E306" s="2">
        <f t="shared" si="22"/>
        <v>-7.1066797429222657</v>
      </c>
      <c r="F306" s="2">
        <f t="shared" si="23"/>
        <v>-29.940747185197392</v>
      </c>
      <c r="G306" s="2">
        <f t="shared" si="24"/>
        <v>2102.0631756914768</v>
      </c>
    </row>
    <row r="307" spans="2:7" x14ac:dyDescent="0.25">
      <c r="B307">
        <v>298</v>
      </c>
      <c r="C307" s="2">
        <f t="shared" si="25"/>
        <v>2102.0631756914768</v>
      </c>
      <c r="D307" s="2">
        <f t="shared" si="21"/>
        <v>-37.047426928119663</v>
      </c>
      <c r="E307" s="2">
        <f t="shared" si="22"/>
        <v>-7.0068772523049425</v>
      </c>
      <c r="F307" s="2">
        <f t="shared" si="23"/>
        <v>-30.040549675814717</v>
      </c>
      <c r="G307" s="2">
        <f t="shared" si="24"/>
        <v>2072.0226260156619</v>
      </c>
    </row>
    <row r="308" spans="2:7" x14ac:dyDescent="0.25">
      <c r="B308">
        <v>299</v>
      </c>
      <c r="C308" s="2">
        <f t="shared" si="25"/>
        <v>2072.0226260156619</v>
      </c>
      <c r="D308" s="2">
        <f t="shared" si="21"/>
        <v>-37.047426928119663</v>
      </c>
      <c r="E308" s="2">
        <f t="shared" si="22"/>
        <v>-6.9067420867188929</v>
      </c>
      <c r="F308" s="2">
        <f t="shared" si="23"/>
        <v>-30.140684841400763</v>
      </c>
      <c r="G308" s="2">
        <f t="shared" si="24"/>
        <v>2041.8819411742611</v>
      </c>
    </row>
    <row r="309" spans="2:7" x14ac:dyDescent="0.25">
      <c r="B309">
        <v>300</v>
      </c>
      <c r="C309" s="2">
        <f t="shared" si="25"/>
        <v>2041.8819411742611</v>
      </c>
      <c r="D309" s="2">
        <f t="shared" si="21"/>
        <v>-37.047426928119663</v>
      </c>
      <c r="E309" s="2">
        <f t="shared" si="22"/>
        <v>-6.8062731372475573</v>
      </c>
      <c r="F309" s="2">
        <f t="shared" si="23"/>
        <v>-30.241153790872104</v>
      </c>
      <c r="G309" s="2">
        <f t="shared" si="24"/>
        <v>2011.6407873833889</v>
      </c>
    </row>
    <row r="310" spans="2:7" x14ac:dyDescent="0.25">
      <c r="B310">
        <v>301</v>
      </c>
      <c r="C310" s="2">
        <f t="shared" si="25"/>
        <v>2011.6407873833889</v>
      </c>
      <c r="D310" s="2">
        <f t="shared" si="21"/>
        <v>-37.047426928119663</v>
      </c>
      <c r="E310" s="2">
        <f t="shared" si="22"/>
        <v>-6.705469291277983</v>
      </c>
      <c r="F310" s="2">
        <f t="shared" si="23"/>
        <v>-30.341957636841681</v>
      </c>
      <c r="G310" s="2">
        <f t="shared" si="24"/>
        <v>1981.2988297465472</v>
      </c>
    </row>
    <row r="311" spans="2:7" x14ac:dyDescent="0.25">
      <c r="B311">
        <v>302</v>
      </c>
      <c r="C311" s="2">
        <f t="shared" si="25"/>
        <v>1981.2988297465472</v>
      </c>
      <c r="D311" s="2">
        <f t="shared" si="21"/>
        <v>-37.047426928119663</v>
      </c>
      <c r="E311" s="2">
        <f t="shared" si="22"/>
        <v>-6.6043294324885089</v>
      </c>
      <c r="F311" s="2">
        <f t="shared" si="23"/>
        <v>-30.44309749563115</v>
      </c>
      <c r="G311" s="2">
        <f t="shared" si="24"/>
        <v>1950.8557322509159</v>
      </c>
    </row>
    <row r="312" spans="2:7" x14ac:dyDescent="0.25">
      <c r="B312">
        <v>303</v>
      </c>
      <c r="C312" s="2">
        <f t="shared" si="25"/>
        <v>1950.8557322509159</v>
      </c>
      <c r="D312" s="2">
        <f t="shared" si="21"/>
        <v>-37.047426928119663</v>
      </c>
      <c r="E312" s="2">
        <f t="shared" si="22"/>
        <v>-6.5028524408364072</v>
      </c>
      <c r="F312" s="2">
        <f t="shared" si="23"/>
        <v>-30.544574487283253</v>
      </c>
      <c r="G312" s="2">
        <f t="shared" si="24"/>
        <v>1920.3111577636328</v>
      </c>
    </row>
    <row r="313" spans="2:7" x14ac:dyDescent="0.25">
      <c r="B313">
        <v>304</v>
      </c>
      <c r="C313" s="2">
        <f t="shared" si="25"/>
        <v>1920.3111577636328</v>
      </c>
      <c r="D313" s="2">
        <f t="shared" si="21"/>
        <v>-37.047426928119663</v>
      </c>
      <c r="E313" s="2">
        <f t="shared" si="22"/>
        <v>-6.4010371925454628</v>
      </c>
      <c r="F313" s="2">
        <f t="shared" si="23"/>
        <v>-30.646389735574196</v>
      </c>
      <c r="G313" s="2">
        <f t="shared" si="24"/>
        <v>1889.6647680280585</v>
      </c>
    </row>
    <row r="314" spans="2:7" x14ac:dyDescent="0.25">
      <c r="B314">
        <v>305</v>
      </c>
      <c r="C314" s="2">
        <f t="shared" si="25"/>
        <v>1889.6647680280585</v>
      </c>
      <c r="D314" s="2">
        <f t="shared" si="21"/>
        <v>-37.047426928119663</v>
      </c>
      <c r="E314" s="2">
        <f t="shared" si="22"/>
        <v>-6.2988825600935483</v>
      </c>
      <c r="F314" s="2">
        <f t="shared" si="23"/>
        <v>-30.748544368026106</v>
      </c>
      <c r="G314" s="2">
        <f t="shared" si="24"/>
        <v>1858.9162236600323</v>
      </c>
    </row>
    <row r="315" spans="2:7" x14ac:dyDescent="0.25">
      <c r="B315">
        <v>306</v>
      </c>
      <c r="C315" s="2">
        <f t="shared" si="25"/>
        <v>1858.9162236600323</v>
      </c>
      <c r="D315" s="2">
        <f t="shared" si="21"/>
        <v>-37.047426928119663</v>
      </c>
      <c r="E315" s="2">
        <f t="shared" si="22"/>
        <v>-6.1963874122001288</v>
      </c>
      <c r="F315" s="2">
        <f t="shared" si="23"/>
        <v>-30.851039515919531</v>
      </c>
      <c r="G315" s="2">
        <f t="shared" si="24"/>
        <v>1828.0651841441127</v>
      </c>
    </row>
    <row r="316" spans="2:7" x14ac:dyDescent="0.25">
      <c r="B316">
        <v>307</v>
      </c>
      <c r="C316" s="2">
        <f t="shared" si="25"/>
        <v>1828.0651841441127</v>
      </c>
      <c r="D316" s="2">
        <f t="shared" si="21"/>
        <v>-37.047426928119663</v>
      </c>
      <c r="E316" s="2">
        <f t="shared" si="22"/>
        <v>-6.0935506138137301</v>
      </c>
      <c r="F316" s="2">
        <f t="shared" si="23"/>
        <v>-30.953876314305926</v>
      </c>
      <c r="G316" s="2">
        <f t="shared" si="24"/>
        <v>1797.1113078298067</v>
      </c>
    </row>
    <row r="317" spans="2:7" x14ac:dyDescent="0.25">
      <c r="B317">
        <v>308</v>
      </c>
      <c r="C317" s="2">
        <f t="shared" si="25"/>
        <v>1797.1113078298067</v>
      </c>
      <c r="D317" s="2">
        <f t="shared" si="21"/>
        <v>-37.047426928119663</v>
      </c>
      <c r="E317" s="2">
        <f t="shared" si="22"/>
        <v>-5.9903710260993774</v>
      </c>
      <c r="F317" s="2">
        <f t="shared" si="23"/>
        <v>-31.057055902020284</v>
      </c>
      <c r="G317" s="2">
        <f t="shared" si="24"/>
        <v>1766.0542519277865</v>
      </c>
    </row>
    <row r="318" spans="2:7" x14ac:dyDescent="0.25">
      <c r="B318">
        <v>309</v>
      </c>
      <c r="C318" s="2">
        <f t="shared" si="25"/>
        <v>1766.0542519277865</v>
      </c>
      <c r="D318" s="2">
        <f t="shared" si="21"/>
        <v>-37.047426928119663</v>
      </c>
      <c r="E318" s="2">
        <f t="shared" si="22"/>
        <v>-5.8868475064259762</v>
      </c>
      <c r="F318" s="2">
        <f t="shared" si="23"/>
        <v>-31.160579421693683</v>
      </c>
      <c r="G318" s="2">
        <f t="shared" si="24"/>
        <v>1734.8936725060928</v>
      </c>
    </row>
    <row r="319" spans="2:7" x14ac:dyDescent="0.25">
      <c r="B319">
        <v>310</v>
      </c>
      <c r="C319" s="2">
        <f t="shared" si="25"/>
        <v>1734.8936725060928</v>
      </c>
      <c r="D319" s="2">
        <f t="shared" si="21"/>
        <v>-37.047426928119663</v>
      </c>
      <c r="E319" s="2">
        <f t="shared" si="22"/>
        <v>-5.7829789083536633</v>
      </c>
      <c r="F319" s="2">
        <f t="shared" si="23"/>
        <v>-31.264448019765997</v>
      </c>
      <c r="G319" s="2">
        <f t="shared" si="24"/>
        <v>1703.6292244863268</v>
      </c>
    </row>
    <row r="320" spans="2:7" x14ac:dyDescent="0.25">
      <c r="B320">
        <v>311</v>
      </c>
      <c r="C320" s="2">
        <f t="shared" si="25"/>
        <v>1703.6292244863268</v>
      </c>
      <c r="D320" s="2">
        <f t="shared" si="21"/>
        <v>-37.047426928119663</v>
      </c>
      <c r="E320" s="2">
        <f t="shared" si="22"/>
        <v>-5.67876408162111</v>
      </c>
      <c r="F320" s="2">
        <f t="shared" si="23"/>
        <v>-31.368662846498545</v>
      </c>
      <c r="G320" s="2">
        <f t="shared" si="24"/>
        <v>1672.2605616398282</v>
      </c>
    </row>
    <row r="321" spans="2:7" x14ac:dyDescent="0.25">
      <c r="B321">
        <v>312</v>
      </c>
      <c r="C321" s="2">
        <f t="shared" si="25"/>
        <v>1672.2605616398282</v>
      </c>
      <c r="D321" s="2">
        <f t="shared" si="21"/>
        <v>-37.047426928119663</v>
      </c>
      <c r="E321" s="2">
        <f t="shared" si="22"/>
        <v>-5.5742018721327824</v>
      </c>
      <c r="F321" s="2">
        <f t="shared" si="23"/>
        <v>-31.47322505598688</v>
      </c>
      <c r="G321" s="2">
        <f t="shared" si="24"/>
        <v>1640.7873365838414</v>
      </c>
    </row>
    <row r="322" spans="2:7" x14ac:dyDescent="0.25">
      <c r="B322">
        <v>313</v>
      </c>
      <c r="C322" s="2">
        <f t="shared" si="25"/>
        <v>1640.7873365838414</v>
      </c>
      <c r="D322" s="2">
        <f t="shared" si="21"/>
        <v>-37.047426928119663</v>
      </c>
      <c r="E322" s="2">
        <f t="shared" si="22"/>
        <v>-5.4692911219461591</v>
      </c>
      <c r="F322" s="2">
        <f t="shared" si="23"/>
        <v>-31.578135806173499</v>
      </c>
      <c r="G322" s="2">
        <f t="shared" si="24"/>
        <v>1609.2092007776678</v>
      </c>
    </row>
    <row r="323" spans="2:7" x14ac:dyDescent="0.25">
      <c r="B323">
        <v>314</v>
      </c>
      <c r="C323" s="2">
        <f t="shared" si="25"/>
        <v>1609.2092007776678</v>
      </c>
      <c r="D323" s="2">
        <f t="shared" si="21"/>
        <v>-37.047426928119663</v>
      </c>
      <c r="E323" s="2">
        <f t="shared" si="22"/>
        <v>-5.3640306692589146</v>
      </c>
      <c r="F323" s="2">
        <f t="shared" si="23"/>
        <v>-31.683396258860746</v>
      </c>
      <c r="G323" s="2">
        <f t="shared" si="24"/>
        <v>1577.525804518807</v>
      </c>
    </row>
    <row r="324" spans="2:7" x14ac:dyDescent="0.25">
      <c r="B324">
        <v>315</v>
      </c>
      <c r="C324" s="2">
        <f t="shared" si="25"/>
        <v>1577.525804518807</v>
      </c>
      <c r="D324" s="2">
        <f t="shared" si="21"/>
        <v>-37.047426928119663</v>
      </c>
      <c r="E324" s="2">
        <f t="shared" si="22"/>
        <v>-5.2584193483960444</v>
      </c>
      <c r="F324" s="2">
        <f t="shared" si="23"/>
        <v>-31.789007579723616</v>
      </c>
      <c r="G324" s="2">
        <f t="shared" si="24"/>
        <v>1545.7367969390834</v>
      </c>
    </row>
    <row r="325" spans="2:7" x14ac:dyDescent="0.25">
      <c r="B325">
        <v>316</v>
      </c>
      <c r="C325" s="2">
        <f t="shared" si="25"/>
        <v>1545.7367969390834</v>
      </c>
      <c r="D325" s="2">
        <f t="shared" si="21"/>
        <v>-37.047426928119663</v>
      </c>
      <c r="E325" s="2">
        <f t="shared" si="22"/>
        <v>-5.152455989796966</v>
      </c>
      <c r="F325" s="2">
        <f t="shared" si="23"/>
        <v>-31.89497093832269</v>
      </c>
      <c r="G325" s="2">
        <f t="shared" si="24"/>
        <v>1513.8418260007606</v>
      </c>
    </row>
    <row r="326" spans="2:7" x14ac:dyDescent="0.25">
      <c r="B326">
        <v>317</v>
      </c>
      <c r="C326" s="2">
        <f t="shared" si="25"/>
        <v>1513.8418260007606</v>
      </c>
      <c r="D326" s="2">
        <f t="shared" si="21"/>
        <v>-37.047426928119663</v>
      </c>
      <c r="E326" s="2">
        <f t="shared" si="22"/>
        <v>-5.0461394200025573</v>
      </c>
      <c r="F326" s="2">
        <f t="shared" si="23"/>
        <v>-32.001287508117102</v>
      </c>
      <c r="G326" s="2">
        <f t="shared" si="24"/>
        <v>1481.8405384926436</v>
      </c>
    </row>
    <row r="327" spans="2:7" x14ac:dyDescent="0.25">
      <c r="B327">
        <v>318</v>
      </c>
      <c r="C327" s="2">
        <f t="shared" si="25"/>
        <v>1481.8405384926436</v>
      </c>
      <c r="D327" s="2">
        <f t="shared" si="21"/>
        <v>-37.047426928119663</v>
      </c>
      <c r="E327" s="2">
        <f t="shared" si="22"/>
        <v>-4.939468461642166</v>
      </c>
      <c r="F327" s="2">
        <f t="shared" si="23"/>
        <v>-32.107958466477491</v>
      </c>
      <c r="G327" s="2">
        <f t="shared" si="24"/>
        <v>1449.7325800261663</v>
      </c>
    </row>
    <row r="328" spans="2:7" x14ac:dyDescent="0.25">
      <c r="B328">
        <v>319</v>
      </c>
      <c r="C328" s="2">
        <f t="shared" si="25"/>
        <v>1449.7325800261663</v>
      </c>
      <c r="D328" s="2">
        <f t="shared" si="21"/>
        <v>-37.047426928119663</v>
      </c>
      <c r="E328" s="2">
        <f t="shared" si="22"/>
        <v>-4.8324419334205748</v>
      </c>
      <c r="F328" s="2">
        <f t="shared" si="23"/>
        <v>-32.214984994699087</v>
      </c>
      <c r="G328" s="2">
        <f t="shared" si="24"/>
        <v>1417.5175950314672</v>
      </c>
    </row>
    <row r="329" spans="2:7" x14ac:dyDescent="0.25">
      <c r="B329">
        <v>320</v>
      </c>
      <c r="C329" s="2">
        <f t="shared" si="25"/>
        <v>1417.5175950314672</v>
      </c>
      <c r="D329" s="2">
        <f t="shared" si="21"/>
        <v>-37.047426928119663</v>
      </c>
      <c r="E329" s="2">
        <f t="shared" si="22"/>
        <v>-4.725058650104911</v>
      </c>
      <c r="F329" s="2">
        <f t="shared" si="23"/>
        <v>-32.32236827801475</v>
      </c>
      <c r="G329" s="2">
        <f t="shared" si="24"/>
        <v>1385.1952267534525</v>
      </c>
    </row>
    <row r="330" spans="2:7" x14ac:dyDescent="0.25">
      <c r="B330">
        <v>321</v>
      </c>
      <c r="C330" s="2">
        <f t="shared" si="25"/>
        <v>1385.1952267534525</v>
      </c>
      <c r="D330" s="2">
        <f t="shared" si="21"/>
        <v>-37.047426928119663</v>
      </c>
      <c r="E330" s="2">
        <f t="shared" si="22"/>
        <v>-4.6173174225115288</v>
      </c>
      <c r="F330" s="2">
        <f t="shared" si="23"/>
        <v>-32.430109505608129</v>
      </c>
      <c r="G330" s="2">
        <f t="shared" si="24"/>
        <v>1352.7651172478445</v>
      </c>
    </row>
    <row r="331" spans="2:7" x14ac:dyDescent="0.25">
      <c r="B331">
        <v>322</v>
      </c>
      <c r="C331" s="2">
        <f t="shared" si="25"/>
        <v>1352.7651172478445</v>
      </c>
      <c r="D331" s="2">
        <f t="shared" ref="D331:D369" si="26">PMT($D$4/12,$D$5*12,$D$3)</f>
        <v>-37.047426928119663</v>
      </c>
      <c r="E331" s="2">
        <f t="shared" ref="E331:E369" si="27">IPMT($D$4/12,B331,$D$5*12,$D$3)</f>
        <v>-4.509217057492835</v>
      </c>
      <c r="F331" s="2">
        <f t="shared" ref="F331:F369" si="28">PPMT($D$4/12,B331,$D$5*12,$D$3)</f>
        <v>-32.538209870626822</v>
      </c>
      <c r="G331" s="2">
        <f t="shared" ref="G331:G369" si="29">F331+C331</f>
        <v>1320.2269073772177</v>
      </c>
    </row>
    <row r="332" spans="2:7" x14ac:dyDescent="0.25">
      <c r="B332">
        <v>323</v>
      </c>
      <c r="C332" s="2">
        <f t="shared" ref="C332:C369" si="30">G331</f>
        <v>1320.2269073772177</v>
      </c>
      <c r="D332" s="2">
        <f t="shared" si="26"/>
        <v>-37.047426928119663</v>
      </c>
      <c r="E332" s="2">
        <f t="shared" si="27"/>
        <v>-4.4007563579240792</v>
      </c>
      <c r="F332" s="2">
        <f t="shared" si="28"/>
        <v>-32.646670570195582</v>
      </c>
      <c r="G332" s="2">
        <f t="shared" si="29"/>
        <v>1287.5802368070222</v>
      </c>
    </row>
    <row r="333" spans="2:7" x14ac:dyDescent="0.25">
      <c r="B333">
        <v>324</v>
      </c>
      <c r="C333" s="2">
        <f t="shared" si="30"/>
        <v>1287.5802368070222</v>
      </c>
      <c r="D333" s="2">
        <f t="shared" si="26"/>
        <v>-37.047426928119663</v>
      </c>
      <c r="E333" s="2">
        <f t="shared" si="27"/>
        <v>-4.291934122690094</v>
      </c>
      <c r="F333" s="2">
        <f t="shared" si="28"/>
        <v>-32.755492805429562</v>
      </c>
      <c r="G333" s="2">
        <f t="shared" si="29"/>
        <v>1254.8247440015925</v>
      </c>
    </row>
    <row r="334" spans="2:7" x14ac:dyDescent="0.25">
      <c r="B334">
        <v>325</v>
      </c>
      <c r="C334" s="2">
        <f t="shared" si="30"/>
        <v>1254.8247440015925</v>
      </c>
      <c r="D334" s="2">
        <f t="shared" si="26"/>
        <v>-37.047426928119663</v>
      </c>
      <c r="E334" s="2">
        <f t="shared" si="27"/>
        <v>-4.1827491466719948</v>
      </c>
      <c r="F334" s="2">
        <f t="shared" si="28"/>
        <v>-32.864677781447668</v>
      </c>
      <c r="G334" s="2">
        <f t="shared" si="29"/>
        <v>1221.9600662201449</v>
      </c>
    </row>
    <row r="335" spans="2:7" x14ac:dyDescent="0.25">
      <c r="B335">
        <v>326</v>
      </c>
      <c r="C335" s="2">
        <f t="shared" si="30"/>
        <v>1221.9600662201449</v>
      </c>
      <c r="D335" s="2">
        <f t="shared" si="26"/>
        <v>-37.047426928119663</v>
      </c>
      <c r="E335" s="2">
        <f t="shared" si="27"/>
        <v>-4.0732002207338365</v>
      </c>
      <c r="F335" s="2">
        <f t="shared" si="28"/>
        <v>-32.974226707385824</v>
      </c>
      <c r="G335" s="2">
        <f t="shared" si="29"/>
        <v>1188.985839512759</v>
      </c>
    </row>
    <row r="336" spans="2:7" x14ac:dyDescent="0.25">
      <c r="B336">
        <v>327</v>
      </c>
      <c r="C336" s="2">
        <f t="shared" si="30"/>
        <v>1188.985839512759</v>
      </c>
      <c r="D336" s="2">
        <f t="shared" si="26"/>
        <v>-37.047426928119663</v>
      </c>
      <c r="E336" s="2">
        <f t="shared" si="27"/>
        <v>-3.9632861317092174</v>
      </c>
      <c r="F336" s="2">
        <f t="shared" si="28"/>
        <v>-33.084140796410445</v>
      </c>
      <c r="G336" s="2">
        <f t="shared" si="29"/>
        <v>1155.9016987163486</v>
      </c>
    </row>
    <row r="337" spans="2:7" x14ac:dyDescent="0.25">
      <c r="B337">
        <v>328</v>
      </c>
      <c r="C337" s="2">
        <f t="shared" si="30"/>
        <v>1155.9016987163486</v>
      </c>
      <c r="D337" s="2">
        <f t="shared" si="26"/>
        <v>-37.047426928119663</v>
      </c>
      <c r="E337" s="2">
        <f t="shared" si="27"/>
        <v>-3.8530056623878486</v>
      </c>
      <c r="F337" s="2">
        <f t="shared" si="28"/>
        <v>-33.194421265731812</v>
      </c>
      <c r="G337" s="2">
        <f t="shared" si="29"/>
        <v>1122.7072774506169</v>
      </c>
    </row>
    <row r="338" spans="2:7" x14ac:dyDescent="0.25">
      <c r="B338">
        <v>329</v>
      </c>
      <c r="C338" s="2">
        <f t="shared" si="30"/>
        <v>1122.7072774506169</v>
      </c>
      <c r="D338" s="2">
        <f t="shared" si="26"/>
        <v>-37.047426928119663</v>
      </c>
      <c r="E338" s="2">
        <f t="shared" si="27"/>
        <v>-3.7423575915020755</v>
      </c>
      <c r="F338" s="2">
        <f t="shared" si="28"/>
        <v>-33.305069336617585</v>
      </c>
      <c r="G338" s="2">
        <f t="shared" si="29"/>
        <v>1089.4022081139992</v>
      </c>
    </row>
    <row r="339" spans="2:7" x14ac:dyDescent="0.25">
      <c r="B339">
        <v>330</v>
      </c>
      <c r="C339" s="2">
        <f t="shared" si="30"/>
        <v>1089.4022081139992</v>
      </c>
      <c r="D339" s="2">
        <f t="shared" si="26"/>
        <v>-37.047426928119663</v>
      </c>
      <c r="E339" s="2">
        <f t="shared" si="27"/>
        <v>-3.6313406937133506</v>
      </c>
      <c r="F339" s="2">
        <f t="shared" si="28"/>
        <v>-33.416086234406308</v>
      </c>
      <c r="G339" s="2">
        <f t="shared" si="29"/>
        <v>1055.9861218795929</v>
      </c>
    </row>
    <row r="340" spans="2:7" x14ac:dyDescent="0.25">
      <c r="B340">
        <v>331</v>
      </c>
      <c r="C340" s="2">
        <f t="shared" si="30"/>
        <v>1055.9861218795929</v>
      </c>
      <c r="D340" s="2">
        <f t="shared" si="26"/>
        <v>-37.047426928119663</v>
      </c>
      <c r="E340" s="2">
        <f t="shared" si="27"/>
        <v>-3.5199537395986629</v>
      </c>
      <c r="F340" s="2">
        <f t="shared" si="28"/>
        <v>-33.527473188520993</v>
      </c>
      <c r="G340" s="2">
        <f t="shared" si="29"/>
        <v>1022.458648691072</v>
      </c>
    </row>
    <row r="341" spans="2:7" x14ac:dyDescent="0.25">
      <c r="B341">
        <v>332</v>
      </c>
      <c r="C341" s="2">
        <f t="shared" si="30"/>
        <v>1022.458648691072</v>
      </c>
      <c r="D341" s="2">
        <f t="shared" si="26"/>
        <v>-37.047426928119663</v>
      </c>
      <c r="E341" s="2">
        <f t="shared" si="27"/>
        <v>-3.4081954956369263</v>
      </c>
      <c r="F341" s="2">
        <f t="shared" si="28"/>
        <v>-33.639231432482731</v>
      </c>
      <c r="G341" s="2">
        <f t="shared" si="29"/>
        <v>988.81941725858928</v>
      </c>
    </row>
    <row r="342" spans="2:7" x14ac:dyDescent="0.25">
      <c r="B342">
        <v>333</v>
      </c>
      <c r="C342" s="2">
        <f t="shared" si="30"/>
        <v>988.81941725858928</v>
      </c>
      <c r="D342" s="2">
        <f t="shared" si="26"/>
        <v>-37.047426928119663</v>
      </c>
      <c r="E342" s="2">
        <f t="shared" si="27"/>
        <v>-3.2960647241953169</v>
      </c>
      <c r="F342" s="2">
        <f t="shared" si="28"/>
        <v>-33.751362203924344</v>
      </c>
      <c r="G342" s="2">
        <f t="shared" si="29"/>
        <v>955.06805505466491</v>
      </c>
    </row>
    <row r="343" spans="2:7" x14ac:dyDescent="0.25">
      <c r="B343">
        <v>334</v>
      </c>
      <c r="C343" s="2">
        <f t="shared" si="30"/>
        <v>955.06805505466491</v>
      </c>
      <c r="D343" s="2">
        <f t="shared" si="26"/>
        <v>-37.047426928119663</v>
      </c>
      <c r="E343" s="2">
        <f t="shared" si="27"/>
        <v>-3.1835601835155698</v>
      </c>
      <c r="F343" s="2">
        <f t="shared" si="28"/>
        <v>-33.863866744604088</v>
      </c>
      <c r="G343" s="2">
        <f t="shared" si="29"/>
        <v>921.20418831006077</v>
      </c>
    </row>
    <row r="344" spans="2:7" x14ac:dyDescent="0.25">
      <c r="B344">
        <v>335</v>
      </c>
      <c r="C344" s="2">
        <f t="shared" si="30"/>
        <v>921.20418831006077</v>
      </c>
      <c r="D344" s="2">
        <f t="shared" si="26"/>
        <v>-37.047426928119663</v>
      </c>
      <c r="E344" s="2">
        <f t="shared" si="27"/>
        <v>-3.0706806277002228</v>
      </c>
      <c r="F344" s="2">
        <f t="shared" si="28"/>
        <v>-33.976746300419435</v>
      </c>
      <c r="G344" s="2">
        <f t="shared" si="29"/>
        <v>887.22744200964132</v>
      </c>
    </row>
    <row r="345" spans="2:7" x14ac:dyDescent="0.25">
      <c r="B345">
        <v>336</v>
      </c>
      <c r="C345" s="2">
        <f t="shared" si="30"/>
        <v>887.22744200964132</v>
      </c>
      <c r="D345" s="2">
        <f t="shared" si="26"/>
        <v>-37.047426928119663</v>
      </c>
      <c r="E345" s="2">
        <f t="shared" si="27"/>
        <v>-2.9574248066988247</v>
      </c>
      <c r="F345" s="2">
        <f t="shared" si="28"/>
        <v>-34.090002121420838</v>
      </c>
      <c r="G345" s="2">
        <f t="shared" si="29"/>
        <v>853.13743988822046</v>
      </c>
    </row>
    <row r="346" spans="2:7" x14ac:dyDescent="0.25">
      <c r="B346">
        <v>337</v>
      </c>
      <c r="C346" s="2">
        <f t="shared" si="30"/>
        <v>853.13743988822046</v>
      </c>
      <c r="D346" s="2">
        <f t="shared" si="26"/>
        <v>-37.047426928119663</v>
      </c>
      <c r="E346" s="2">
        <f t="shared" si="27"/>
        <v>-2.8437914662940886</v>
      </c>
      <c r="F346" s="2">
        <f t="shared" si="28"/>
        <v>-34.20363546182557</v>
      </c>
      <c r="G346" s="2">
        <f t="shared" si="29"/>
        <v>818.93380442639489</v>
      </c>
    </row>
    <row r="347" spans="2:7" x14ac:dyDescent="0.25">
      <c r="B347">
        <v>338</v>
      </c>
      <c r="C347" s="2">
        <f t="shared" si="30"/>
        <v>818.93380442639489</v>
      </c>
      <c r="D347" s="2">
        <f t="shared" si="26"/>
        <v>-37.047426928119663</v>
      </c>
      <c r="E347" s="2">
        <f t="shared" si="27"/>
        <v>-2.729779348088003</v>
      </c>
      <c r="F347" s="2">
        <f t="shared" si="28"/>
        <v>-34.317647580031661</v>
      </c>
      <c r="G347" s="2">
        <f t="shared" si="29"/>
        <v>784.6161568463632</v>
      </c>
    </row>
    <row r="348" spans="2:7" x14ac:dyDescent="0.25">
      <c r="B348">
        <v>339</v>
      </c>
      <c r="C348" s="2">
        <f t="shared" si="30"/>
        <v>784.6161568463632</v>
      </c>
      <c r="D348" s="2">
        <f t="shared" si="26"/>
        <v>-37.047426928119663</v>
      </c>
      <c r="E348" s="2">
        <f t="shared" si="27"/>
        <v>-2.6153871894878975</v>
      </c>
      <c r="F348" s="2">
        <f t="shared" si="28"/>
        <v>-34.432039738631765</v>
      </c>
      <c r="G348" s="2">
        <f t="shared" si="29"/>
        <v>750.18411710773148</v>
      </c>
    </row>
    <row r="349" spans="2:7" x14ac:dyDescent="0.25">
      <c r="B349">
        <v>340</v>
      </c>
      <c r="C349" s="2">
        <f t="shared" si="30"/>
        <v>750.18411710773148</v>
      </c>
      <c r="D349" s="2">
        <f t="shared" si="26"/>
        <v>-37.047426928119663</v>
      </c>
      <c r="E349" s="2">
        <f t="shared" si="27"/>
        <v>-2.5006137236924579</v>
      </c>
      <c r="F349" s="2">
        <f t="shared" si="28"/>
        <v>-34.546813204427202</v>
      </c>
      <c r="G349" s="2">
        <f t="shared" si="29"/>
        <v>715.63730390330431</v>
      </c>
    </row>
    <row r="350" spans="2:7" x14ac:dyDescent="0.25">
      <c r="B350">
        <v>341</v>
      </c>
      <c r="C350" s="2">
        <f t="shared" si="30"/>
        <v>715.63730390330431</v>
      </c>
      <c r="D350" s="2">
        <f t="shared" si="26"/>
        <v>-37.047426928119663</v>
      </c>
      <c r="E350" s="2">
        <f t="shared" si="27"/>
        <v>-2.3854576796777014</v>
      </c>
      <c r="F350" s="2">
        <f t="shared" si="28"/>
        <v>-34.661969248441963</v>
      </c>
      <c r="G350" s="2">
        <f t="shared" si="29"/>
        <v>680.97533465486231</v>
      </c>
    </row>
    <row r="351" spans="2:7" x14ac:dyDescent="0.25">
      <c r="B351">
        <v>342</v>
      </c>
      <c r="C351" s="2">
        <f t="shared" si="30"/>
        <v>680.97533465486231</v>
      </c>
      <c r="D351" s="2">
        <f t="shared" si="26"/>
        <v>-37.047426928119663</v>
      </c>
      <c r="E351" s="2">
        <f t="shared" si="27"/>
        <v>-2.2699177821828944</v>
      </c>
      <c r="F351" s="2">
        <f t="shared" si="28"/>
        <v>-34.777509145936769</v>
      </c>
      <c r="G351" s="2">
        <f t="shared" si="29"/>
        <v>646.19782550892558</v>
      </c>
    </row>
    <row r="352" spans="2:7" x14ac:dyDescent="0.25">
      <c r="B352">
        <v>343</v>
      </c>
      <c r="C352" s="2">
        <f t="shared" si="30"/>
        <v>646.19782550892558</v>
      </c>
      <c r="D352" s="2">
        <f t="shared" si="26"/>
        <v>-37.047426928119663</v>
      </c>
      <c r="E352" s="2">
        <f t="shared" si="27"/>
        <v>-2.1539927516964386</v>
      </c>
      <c r="F352" s="2">
        <f t="shared" si="28"/>
        <v>-34.89343417642322</v>
      </c>
      <c r="G352" s="2">
        <f t="shared" si="29"/>
        <v>611.30439133250241</v>
      </c>
    </row>
    <row r="353" spans="2:7" x14ac:dyDescent="0.25">
      <c r="B353">
        <v>344</v>
      </c>
      <c r="C353" s="2">
        <f t="shared" si="30"/>
        <v>611.30439133250241</v>
      </c>
      <c r="D353" s="2">
        <f t="shared" si="26"/>
        <v>-37.047426928119663</v>
      </c>
      <c r="E353" s="2">
        <f t="shared" si="27"/>
        <v>-2.0376813044416946</v>
      </c>
      <c r="F353" s="2">
        <f t="shared" si="28"/>
        <v>-35.009745623677972</v>
      </c>
      <c r="G353" s="2">
        <f t="shared" si="29"/>
        <v>576.29464570882442</v>
      </c>
    </row>
    <row r="354" spans="2:7" x14ac:dyDescent="0.25">
      <c r="B354">
        <v>345</v>
      </c>
      <c r="C354" s="2">
        <f t="shared" si="30"/>
        <v>576.29464570882442</v>
      </c>
      <c r="D354" s="2">
        <f t="shared" si="26"/>
        <v>-37.047426928119663</v>
      </c>
      <c r="E354" s="2">
        <f t="shared" si="27"/>
        <v>-1.9209821523627679</v>
      </c>
      <c r="F354" s="2">
        <f t="shared" si="28"/>
        <v>-35.126444775756887</v>
      </c>
      <c r="G354" s="2">
        <f t="shared" si="29"/>
        <v>541.16820093306751</v>
      </c>
    </row>
    <row r="355" spans="2:7" x14ac:dyDescent="0.25">
      <c r="B355">
        <v>346</v>
      </c>
      <c r="C355" s="2">
        <f t="shared" si="30"/>
        <v>541.16820093306751</v>
      </c>
      <c r="D355" s="2">
        <f t="shared" si="26"/>
        <v>-37.047426928119663</v>
      </c>
      <c r="E355" s="2">
        <f t="shared" si="27"/>
        <v>-1.8038940031102453</v>
      </c>
      <c r="F355" s="2">
        <f t="shared" si="28"/>
        <v>-35.243532925009411</v>
      </c>
      <c r="G355" s="2">
        <f t="shared" si="29"/>
        <v>505.92466800805812</v>
      </c>
    </row>
    <row r="356" spans="2:7" x14ac:dyDescent="0.25">
      <c r="B356">
        <v>347</v>
      </c>
      <c r="C356" s="2">
        <f t="shared" si="30"/>
        <v>505.92466800805812</v>
      </c>
      <c r="D356" s="2">
        <f t="shared" si="26"/>
        <v>-37.047426928119663</v>
      </c>
      <c r="E356" s="2">
        <f t="shared" si="27"/>
        <v>-1.68641556002688</v>
      </c>
      <c r="F356" s="2">
        <f t="shared" si="28"/>
        <v>-35.361011368092782</v>
      </c>
      <c r="G356" s="2">
        <f t="shared" si="29"/>
        <v>470.56365663996536</v>
      </c>
    </row>
    <row r="357" spans="2:7" x14ac:dyDescent="0.25">
      <c r="B357">
        <v>348</v>
      </c>
      <c r="C357" s="2">
        <f t="shared" si="30"/>
        <v>470.56365663996536</v>
      </c>
      <c r="D357" s="2">
        <f t="shared" si="26"/>
        <v>-37.047426928119663</v>
      </c>
      <c r="E357" s="2">
        <f t="shared" si="27"/>
        <v>-1.5685455221332378</v>
      </c>
      <c r="F357" s="2">
        <f t="shared" si="28"/>
        <v>-35.478881405986421</v>
      </c>
      <c r="G357" s="2">
        <f t="shared" si="29"/>
        <v>435.08477523397892</v>
      </c>
    </row>
    <row r="358" spans="2:7" x14ac:dyDescent="0.25">
      <c r="B358">
        <v>349</v>
      </c>
      <c r="C358" s="2">
        <f t="shared" si="30"/>
        <v>435.08477523397892</v>
      </c>
      <c r="D358" s="2">
        <f t="shared" si="26"/>
        <v>-37.047426928119663</v>
      </c>
      <c r="E358" s="2">
        <f t="shared" si="27"/>
        <v>-1.4502825841132829</v>
      </c>
      <c r="F358" s="2">
        <f t="shared" si="28"/>
        <v>-35.597144344006374</v>
      </c>
      <c r="G358" s="2">
        <f t="shared" si="29"/>
        <v>399.48763088997254</v>
      </c>
    </row>
    <row r="359" spans="2:7" x14ac:dyDescent="0.25">
      <c r="B359">
        <v>350</v>
      </c>
      <c r="C359" s="2">
        <f t="shared" si="30"/>
        <v>399.48763088997254</v>
      </c>
      <c r="D359" s="2">
        <f t="shared" si="26"/>
        <v>-37.047426928119663</v>
      </c>
      <c r="E359" s="2">
        <f t="shared" si="27"/>
        <v>-1.3316254362999285</v>
      </c>
      <c r="F359" s="2">
        <f t="shared" si="28"/>
        <v>-35.715801491819732</v>
      </c>
      <c r="G359" s="2">
        <f t="shared" si="29"/>
        <v>363.77182939815282</v>
      </c>
    </row>
    <row r="360" spans="2:7" x14ac:dyDescent="0.25">
      <c r="B360">
        <v>351</v>
      </c>
      <c r="C360" s="2">
        <f t="shared" si="30"/>
        <v>363.77182939815282</v>
      </c>
      <c r="D360" s="2">
        <f t="shared" si="26"/>
        <v>-37.047426928119663</v>
      </c>
      <c r="E360" s="2">
        <f t="shared" si="27"/>
        <v>-1.2125727646605289</v>
      </c>
      <c r="F360" s="2">
        <f t="shared" si="28"/>
        <v>-35.834854163459127</v>
      </c>
      <c r="G360" s="2">
        <f t="shared" si="29"/>
        <v>327.9369752346937</v>
      </c>
    </row>
    <row r="361" spans="2:7" x14ac:dyDescent="0.25">
      <c r="B361">
        <v>352</v>
      </c>
      <c r="C361" s="2">
        <f t="shared" si="30"/>
        <v>327.9369752346937</v>
      </c>
      <c r="D361" s="2">
        <f t="shared" si="26"/>
        <v>-37.047426928119663</v>
      </c>
      <c r="E361" s="2">
        <f t="shared" si="27"/>
        <v>-1.0931232507823319</v>
      </c>
      <c r="F361" s="2">
        <f t="shared" si="28"/>
        <v>-35.954303677337329</v>
      </c>
      <c r="G361" s="2">
        <f t="shared" si="29"/>
        <v>291.98267155735635</v>
      </c>
    </row>
    <row r="362" spans="2:7" x14ac:dyDescent="0.25">
      <c r="B362">
        <v>353</v>
      </c>
      <c r="C362" s="2">
        <f t="shared" si="30"/>
        <v>291.98267155735635</v>
      </c>
      <c r="D362" s="2">
        <f t="shared" si="26"/>
        <v>-37.047426928119663</v>
      </c>
      <c r="E362" s="2">
        <f t="shared" si="27"/>
        <v>-0.97327557185787428</v>
      </c>
      <c r="F362" s="2">
        <f t="shared" si="28"/>
        <v>-36.074151356261787</v>
      </c>
      <c r="G362" s="2">
        <f t="shared" si="29"/>
        <v>255.90852020109457</v>
      </c>
    </row>
    <row r="363" spans="2:7" x14ac:dyDescent="0.25">
      <c r="B363">
        <v>354</v>
      </c>
      <c r="C363" s="2">
        <f t="shared" si="30"/>
        <v>255.90852020109457</v>
      </c>
      <c r="D363" s="2">
        <f t="shared" si="26"/>
        <v>-37.047426928119663</v>
      </c>
      <c r="E363" s="2">
        <f t="shared" si="27"/>
        <v>-0.85302840067033514</v>
      </c>
      <c r="F363" s="2">
        <f t="shared" si="28"/>
        <v>-36.194398527449323</v>
      </c>
      <c r="G363" s="2">
        <f t="shared" si="29"/>
        <v>219.71412167364525</v>
      </c>
    </row>
    <row r="364" spans="2:7" x14ac:dyDescent="0.25">
      <c r="B364">
        <v>355</v>
      </c>
      <c r="C364" s="2">
        <f t="shared" si="30"/>
        <v>219.71412167364525</v>
      </c>
      <c r="D364" s="2">
        <f t="shared" si="26"/>
        <v>-37.047426928119663</v>
      </c>
      <c r="E364" s="2">
        <f t="shared" si="27"/>
        <v>-0.73238040557883732</v>
      </c>
      <c r="F364" s="2">
        <f t="shared" si="28"/>
        <v>-36.315046522540825</v>
      </c>
      <c r="G364" s="2">
        <f t="shared" si="29"/>
        <v>183.39907515110443</v>
      </c>
    </row>
    <row r="365" spans="2:7" x14ac:dyDescent="0.25">
      <c r="B365">
        <v>356</v>
      </c>
      <c r="C365" s="2">
        <f t="shared" si="30"/>
        <v>183.39907515110443</v>
      </c>
      <c r="D365" s="2">
        <f t="shared" si="26"/>
        <v>-37.047426928119663</v>
      </c>
      <c r="E365" s="2">
        <f t="shared" si="27"/>
        <v>-0.61133025050370116</v>
      </c>
      <c r="F365" s="2">
        <f t="shared" si="28"/>
        <v>-36.436096677615957</v>
      </c>
      <c r="G365" s="2">
        <f t="shared" si="29"/>
        <v>146.96297847348848</v>
      </c>
    </row>
    <row r="366" spans="2:7" x14ac:dyDescent="0.25">
      <c r="B366">
        <v>357</v>
      </c>
      <c r="C366" s="2">
        <f t="shared" si="30"/>
        <v>146.96297847348848</v>
      </c>
      <c r="D366" s="2">
        <f t="shared" si="26"/>
        <v>-37.047426928119663</v>
      </c>
      <c r="E366" s="2">
        <f t="shared" si="27"/>
        <v>-0.48987659491164792</v>
      </c>
      <c r="F366" s="2">
        <f t="shared" si="28"/>
        <v>-36.557550333208013</v>
      </c>
      <c r="G366" s="2">
        <f t="shared" si="29"/>
        <v>110.40542814028046</v>
      </c>
    </row>
    <row r="367" spans="2:7" x14ac:dyDescent="0.25">
      <c r="B367">
        <v>358</v>
      </c>
      <c r="C367" s="2">
        <f t="shared" si="30"/>
        <v>110.40542814028046</v>
      </c>
      <c r="D367" s="2">
        <f t="shared" si="26"/>
        <v>-37.047426928119663</v>
      </c>
      <c r="E367" s="2">
        <f t="shared" si="27"/>
        <v>-0.36801809380095452</v>
      </c>
      <c r="F367" s="2">
        <f t="shared" si="28"/>
        <v>-36.679408834318707</v>
      </c>
      <c r="G367" s="2">
        <f t="shared" si="29"/>
        <v>73.726019305961756</v>
      </c>
    </row>
    <row r="368" spans="2:7" x14ac:dyDescent="0.25">
      <c r="B368">
        <v>359</v>
      </c>
      <c r="C368" s="2">
        <f t="shared" si="30"/>
        <v>73.726019305961756</v>
      </c>
      <c r="D368" s="2">
        <f t="shared" si="26"/>
        <v>-37.047426928119663</v>
      </c>
      <c r="E368" s="2">
        <f t="shared" si="27"/>
        <v>-0.24575339768655885</v>
      </c>
      <c r="F368" s="2">
        <f t="shared" si="28"/>
        <v>-36.801673530433106</v>
      </c>
      <c r="G368" s="2">
        <f t="shared" si="29"/>
        <v>36.92434577552865</v>
      </c>
    </row>
    <row r="369" spans="2:7" x14ac:dyDescent="0.25">
      <c r="B369">
        <v>360</v>
      </c>
      <c r="C369" s="2">
        <f t="shared" si="30"/>
        <v>36.92434577552865</v>
      </c>
      <c r="D369" s="2">
        <f t="shared" si="26"/>
        <v>-37.047426928119663</v>
      </c>
      <c r="E369" s="2">
        <f t="shared" si="27"/>
        <v>-0.12308115258511516</v>
      </c>
      <c r="F369" s="2">
        <f t="shared" si="28"/>
        <v>-36.924345775534547</v>
      </c>
      <c r="G369" s="2">
        <f t="shared" si="29"/>
        <v>-5.8975047068088315E-12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D1E57-4892-4AD8-B647-C1E6FFA5D68B}">
  <dimension ref="A2:U39"/>
  <sheetViews>
    <sheetView workbookViewId="0">
      <selection activeCell="U25" sqref="U25"/>
    </sheetView>
  </sheetViews>
  <sheetFormatPr defaultRowHeight="15" x14ac:dyDescent="0.25"/>
  <cols>
    <col min="3" max="3" width="10.140625" bestFit="1" customWidth="1"/>
    <col min="5" max="5" width="13.5703125" bestFit="1" customWidth="1"/>
    <col min="9" max="9" width="9.7109375" bestFit="1" customWidth="1"/>
    <col min="10" max="10" width="10.140625" bestFit="1" customWidth="1"/>
    <col min="12" max="12" width="11.85546875" bestFit="1" customWidth="1"/>
    <col min="14" max="14" width="9.28515625" bestFit="1" customWidth="1"/>
    <col min="15" max="16" width="7.42578125" customWidth="1"/>
    <col min="17" max="17" width="11.85546875" bestFit="1" customWidth="1"/>
    <col min="18" max="18" width="7.42578125" customWidth="1"/>
    <col min="19" max="19" width="9.28515625" bestFit="1" customWidth="1"/>
    <col min="20" max="20" width="7.42578125" customWidth="1"/>
    <col min="21" max="21" width="13.5703125" bestFit="1" customWidth="1"/>
  </cols>
  <sheetData>
    <row r="2" spans="2:21" x14ac:dyDescent="0.25">
      <c r="B2" t="s">
        <v>108</v>
      </c>
    </row>
    <row r="3" spans="2:21" x14ac:dyDescent="0.25">
      <c r="I3" t="s">
        <v>140</v>
      </c>
      <c r="N3" t="s">
        <v>11</v>
      </c>
    </row>
    <row r="4" spans="2:21" x14ac:dyDescent="0.25">
      <c r="B4" t="s">
        <v>114</v>
      </c>
      <c r="I4" t="s">
        <v>141</v>
      </c>
      <c r="J4" t="s">
        <v>136</v>
      </c>
      <c r="K4" t="s">
        <v>142</v>
      </c>
      <c r="L4" t="s">
        <v>143</v>
      </c>
      <c r="M4" t="s">
        <v>144</v>
      </c>
      <c r="N4" s="14">
        <v>1</v>
      </c>
      <c r="O4" s="10">
        <v>2</v>
      </c>
      <c r="P4" s="10">
        <v>3</v>
      </c>
      <c r="Q4" s="10">
        <v>4</v>
      </c>
      <c r="R4" s="10">
        <v>5</v>
      </c>
      <c r="S4" s="10">
        <v>6</v>
      </c>
      <c r="T4" s="11">
        <v>7</v>
      </c>
      <c r="U4" t="s">
        <v>145</v>
      </c>
    </row>
    <row r="5" spans="2:21" x14ac:dyDescent="0.25">
      <c r="B5" s="3" t="s">
        <v>109</v>
      </c>
      <c r="F5" t="s">
        <v>113</v>
      </c>
      <c r="I5" s="93">
        <v>43525</v>
      </c>
      <c r="J5" t="s">
        <v>146</v>
      </c>
      <c r="K5" t="s">
        <v>147</v>
      </c>
      <c r="L5" s="9">
        <v>24779</v>
      </c>
      <c r="M5">
        <v>2</v>
      </c>
      <c r="N5" s="94">
        <v>5.9</v>
      </c>
      <c r="O5" s="2">
        <v>6.01</v>
      </c>
      <c r="P5" s="2"/>
      <c r="Q5" s="2"/>
      <c r="R5" s="2"/>
      <c r="S5" s="2"/>
      <c r="T5" s="67"/>
      <c r="U5" t="s">
        <v>148</v>
      </c>
    </row>
    <row r="6" spans="2:21" x14ac:dyDescent="0.25">
      <c r="B6" s="181" t="s">
        <v>110</v>
      </c>
      <c r="C6" s="181"/>
      <c r="D6" s="181"/>
      <c r="E6" s="181"/>
      <c r="F6" s="2">
        <v>4.78</v>
      </c>
      <c r="I6" s="93">
        <v>43405</v>
      </c>
      <c r="J6" t="s">
        <v>149</v>
      </c>
      <c r="K6" t="s">
        <v>147</v>
      </c>
      <c r="L6" s="9">
        <v>19886</v>
      </c>
      <c r="M6">
        <v>4</v>
      </c>
      <c r="N6" s="94">
        <v>4.5</v>
      </c>
      <c r="O6" s="2">
        <v>4.57</v>
      </c>
      <c r="P6" s="2">
        <v>4.6399999999999997</v>
      </c>
      <c r="Q6" s="2">
        <v>4.71</v>
      </c>
      <c r="R6" s="2"/>
      <c r="S6" s="2"/>
      <c r="T6" s="67"/>
      <c r="U6" t="s">
        <v>150</v>
      </c>
    </row>
    <row r="7" spans="2:21" x14ac:dyDescent="0.25">
      <c r="B7" s="181" t="s">
        <v>111</v>
      </c>
      <c r="C7" s="181"/>
      <c r="D7" s="181"/>
      <c r="E7" s="181"/>
      <c r="F7" s="2">
        <v>10.97</v>
      </c>
      <c r="I7" s="93">
        <v>43374</v>
      </c>
      <c r="J7" t="s">
        <v>151</v>
      </c>
      <c r="K7" t="s">
        <v>152</v>
      </c>
      <c r="L7" s="9">
        <v>90000</v>
      </c>
      <c r="M7">
        <v>7</v>
      </c>
      <c r="N7" s="94">
        <v>7.83</v>
      </c>
      <c r="O7" s="2">
        <v>7.99</v>
      </c>
      <c r="P7" s="2">
        <v>8.49</v>
      </c>
      <c r="Q7" s="2">
        <v>8.49</v>
      </c>
      <c r="R7" s="2">
        <v>9.49</v>
      </c>
      <c r="S7" s="2">
        <v>9.49</v>
      </c>
      <c r="T7" s="67">
        <v>9.49</v>
      </c>
      <c r="U7" t="s">
        <v>153</v>
      </c>
    </row>
    <row r="8" spans="2:21" x14ac:dyDescent="0.25">
      <c r="B8" s="181" t="s">
        <v>112</v>
      </c>
      <c r="C8" s="181"/>
      <c r="D8" s="181"/>
      <c r="E8" s="181"/>
      <c r="F8" s="2">
        <v>5.16</v>
      </c>
      <c r="I8" s="93">
        <v>43344</v>
      </c>
      <c r="J8" t="s">
        <v>154</v>
      </c>
      <c r="K8" t="s">
        <v>147</v>
      </c>
      <c r="L8" s="9">
        <v>19900</v>
      </c>
      <c r="M8">
        <v>3</v>
      </c>
      <c r="N8" s="94">
        <v>4.55</v>
      </c>
      <c r="O8" s="2">
        <v>4.6500000000000004</v>
      </c>
      <c r="P8" s="2">
        <v>4.75</v>
      </c>
      <c r="Q8" s="2"/>
      <c r="R8" s="2"/>
      <c r="S8" s="2"/>
      <c r="T8" s="67"/>
      <c r="U8" t="s">
        <v>155</v>
      </c>
    </row>
    <row r="9" spans="2:21" x14ac:dyDescent="0.25">
      <c r="I9" s="93">
        <v>43252</v>
      </c>
      <c r="J9" t="s">
        <v>156</v>
      </c>
      <c r="K9" t="s">
        <v>157</v>
      </c>
      <c r="L9" s="9">
        <v>15000</v>
      </c>
      <c r="M9">
        <v>6</v>
      </c>
      <c r="N9" s="94">
        <v>10.33</v>
      </c>
      <c r="O9" s="2">
        <v>10.33</v>
      </c>
      <c r="P9" s="2">
        <v>10.33</v>
      </c>
      <c r="Q9" s="2">
        <v>10.33</v>
      </c>
      <c r="R9" s="2">
        <v>10.33</v>
      </c>
      <c r="S9" s="2">
        <v>10.33</v>
      </c>
      <c r="T9" s="67"/>
      <c r="U9" t="s">
        <v>158</v>
      </c>
    </row>
    <row r="10" spans="2:21" x14ac:dyDescent="0.25">
      <c r="I10" s="93">
        <v>43221</v>
      </c>
      <c r="J10" t="s">
        <v>159</v>
      </c>
      <c r="K10" t="s">
        <v>160</v>
      </c>
      <c r="L10" s="9">
        <v>7300</v>
      </c>
      <c r="M10">
        <v>5</v>
      </c>
      <c r="N10" s="94">
        <v>9.4600000000000009</v>
      </c>
      <c r="O10" s="2">
        <v>9.4600000000000009</v>
      </c>
      <c r="P10" s="2">
        <v>9.4600000000000009</v>
      </c>
      <c r="Q10" s="2">
        <v>9.4600000000000009</v>
      </c>
      <c r="R10" s="2">
        <v>9.4600000000000009</v>
      </c>
      <c r="S10" s="2"/>
      <c r="T10" s="67"/>
      <c r="U10" t="s">
        <v>161</v>
      </c>
    </row>
    <row r="11" spans="2:21" x14ac:dyDescent="0.25">
      <c r="B11" t="s">
        <v>115</v>
      </c>
      <c r="I11" s="97">
        <v>43160</v>
      </c>
      <c r="J11" s="98" t="s">
        <v>162</v>
      </c>
      <c r="K11" s="98" t="s">
        <v>163</v>
      </c>
      <c r="L11" s="99">
        <v>24000</v>
      </c>
      <c r="M11" s="98">
        <v>4</v>
      </c>
      <c r="N11" s="100">
        <v>11</v>
      </c>
      <c r="O11" s="7">
        <v>11</v>
      </c>
      <c r="P11" s="7">
        <v>11</v>
      </c>
      <c r="Q11" s="7">
        <v>11</v>
      </c>
      <c r="R11" s="7"/>
      <c r="S11" s="7"/>
      <c r="T11" s="101"/>
      <c r="U11" s="98" t="s">
        <v>164</v>
      </c>
    </row>
    <row r="12" spans="2:21" x14ac:dyDescent="0.25">
      <c r="B12" s="14" t="s">
        <v>116</v>
      </c>
      <c r="C12" s="10" t="s">
        <v>117</v>
      </c>
      <c r="D12" s="10" t="s">
        <v>118</v>
      </c>
      <c r="E12" s="11" t="s">
        <v>119</v>
      </c>
      <c r="I12" s="93">
        <v>42979</v>
      </c>
      <c r="J12" t="s">
        <v>165</v>
      </c>
      <c r="K12" t="s">
        <v>166</v>
      </c>
      <c r="L12" s="9">
        <v>21839</v>
      </c>
      <c r="M12">
        <v>5</v>
      </c>
      <c r="N12" s="94">
        <v>4.4000000000000004</v>
      </c>
      <c r="O12" s="2">
        <v>4.4000000000000004</v>
      </c>
      <c r="P12" s="2">
        <v>4.4000000000000004</v>
      </c>
      <c r="Q12" s="2">
        <v>4.4000000000000004</v>
      </c>
      <c r="R12" s="2">
        <v>4.4000000000000004</v>
      </c>
      <c r="S12" s="2"/>
      <c r="T12" s="67"/>
      <c r="U12" t="s">
        <v>167</v>
      </c>
    </row>
    <row r="13" spans="2:21" x14ac:dyDescent="0.25">
      <c r="B13" s="12">
        <v>1</v>
      </c>
      <c r="C13" s="9">
        <v>8000</v>
      </c>
      <c r="D13" s="8">
        <v>1</v>
      </c>
      <c r="E13" s="67">
        <v>5.77</v>
      </c>
      <c r="I13" s="93">
        <v>42948</v>
      </c>
      <c r="J13" t="s">
        <v>168</v>
      </c>
      <c r="K13" t="s">
        <v>147</v>
      </c>
      <c r="L13" s="9">
        <v>49668</v>
      </c>
      <c r="M13">
        <v>10</v>
      </c>
      <c r="N13" s="94">
        <v>5.25</v>
      </c>
      <c r="O13" s="2">
        <v>5.25</v>
      </c>
      <c r="P13" s="2">
        <v>5.25</v>
      </c>
      <c r="Q13" s="2">
        <v>5.5</v>
      </c>
      <c r="R13" s="2" t="s">
        <v>177</v>
      </c>
      <c r="S13" s="2" t="s">
        <v>177</v>
      </c>
      <c r="T13" s="67" t="s">
        <v>177</v>
      </c>
      <c r="U13" t="s">
        <v>169</v>
      </c>
    </row>
    <row r="14" spans="2:21" x14ac:dyDescent="0.25">
      <c r="B14" s="12">
        <v>2</v>
      </c>
      <c r="C14" s="9">
        <v>240000</v>
      </c>
      <c r="D14" s="8">
        <v>0.9</v>
      </c>
      <c r="E14" s="67">
        <v>4.25</v>
      </c>
      <c r="I14" s="93">
        <v>42917</v>
      </c>
      <c r="J14" t="s">
        <v>170</v>
      </c>
      <c r="K14" t="s">
        <v>171</v>
      </c>
      <c r="L14" s="9">
        <v>50000</v>
      </c>
      <c r="M14">
        <v>6</v>
      </c>
      <c r="N14" s="94">
        <v>9.3000000000000007</v>
      </c>
      <c r="O14" s="2">
        <v>9.3000000000000007</v>
      </c>
      <c r="P14" s="2">
        <v>9.3000000000000007</v>
      </c>
      <c r="Q14" s="2">
        <v>9.3000000000000007</v>
      </c>
      <c r="R14" s="2">
        <v>9.3000000000000007</v>
      </c>
      <c r="S14" s="2">
        <v>9.3000000000000007</v>
      </c>
      <c r="T14" s="67"/>
      <c r="U14" t="s">
        <v>172</v>
      </c>
    </row>
    <row r="15" spans="2:21" x14ac:dyDescent="0.25">
      <c r="B15" s="12">
        <v>3</v>
      </c>
      <c r="C15" s="9">
        <v>120000</v>
      </c>
      <c r="D15" s="8">
        <v>0.97</v>
      </c>
      <c r="E15" s="67">
        <v>4.67</v>
      </c>
      <c r="I15" s="93">
        <v>42887</v>
      </c>
      <c r="J15" t="s">
        <v>173</v>
      </c>
      <c r="K15" t="s">
        <v>147</v>
      </c>
      <c r="L15" s="9">
        <v>15040</v>
      </c>
      <c r="M15">
        <v>5</v>
      </c>
      <c r="N15" s="94">
        <v>4.5</v>
      </c>
      <c r="O15" s="2">
        <v>4.75</v>
      </c>
      <c r="P15" s="2">
        <v>5</v>
      </c>
      <c r="Q15" s="2">
        <v>5.25</v>
      </c>
      <c r="R15" s="2">
        <v>5.5</v>
      </c>
      <c r="S15" s="2"/>
      <c r="T15" s="67"/>
      <c r="U15" t="s">
        <v>155</v>
      </c>
    </row>
    <row r="16" spans="2:21" x14ac:dyDescent="0.25">
      <c r="B16" s="12">
        <v>4</v>
      </c>
      <c r="C16" s="9">
        <v>60000</v>
      </c>
      <c r="D16" s="8">
        <v>1</v>
      </c>
      <c r="E16" s="67">
        <v>5.39</v>
      </c>
      <c r="I16" s="93">
        <v>42795</v>
      </c>
      <c r="J16" t="s">
        <v>174</v>
      </c>
      <c r="K16" t="s">
        <v>175</v>
      </c>
      <c r="L16" s="9">
        <v>28727</v>
      </c>
      <c r="M16">
        <v>2</v>
      </c>
      <c r="N16" s="95">
        <v>9</v>
      </c>
      <c r="O16" s="96">
        <v>9</v>
      </c>
      <c r="P16" s="96"/>
      <c r="Q16" s="96"/>
      <c r="R16" s="96"/>
      <c r="S16" s="96"/>
      <c r="T16" s="70"/>
      <c r="U16" t="s">
        <v>176</v>
      </c>
    </row>
    <row r="17" spans="1:21" x14ac:dyDescent="0.25">
      <c r="B17" s="12">
        <v>5</v>
      </c>
      <c r="C17" s="9">
        <v>180000</v>
      </c>
      <c r="D17" s="8">
        <v>0.92</v>
      </c>
      <c r="E17" s="67">
        <v>4.68</v>
      </c>
      <c r="L17" s="9">
        <f>SUM(L5:L16)</f>
        <v>366139</v>
      </c>
      <c r="N17" s="66">
        <f>SUMPRODUCT(N5:N16,$L$5:$L$16)/$L$17</f>
        <v>7.2841399031515355</v>
      </c>
      <c r="O17" s="66">
        <f>SUMPRODUCT(O5:O16,$L$5:$L$16)/$L$17</f>
        <v>7.3504199498004859</v>
      </c>
      <c r="P17" s="66"/>
      <c r="Q17" s="66"/>
      <c r="R17" s="66"/>
    </row>
    <row r="18" spans="1:21" x14ac:dyDescent="0.25">
      <c r="B18" s="13">
        <v>6</v>
      </c>
      <c r="C18" s="68">
        <v>100000</v>
      </c>
      <c r="D18" s="69">
        <v>0.96</v>
      </c>
      <c r="E18" s="70">
        <v>4.97</v>
      </c>
    </row>
    <row r="19" spans="1:21" x14ac:dyDescent="0.25">
      <c r="A19" s="182" t="s">
        <v>120</v>
      </c>
      <c r="B19" s="182"/>
      <c r="C19" s="9">
        <f>SUM(C13:C18)</f>
        <v>708000</v>
      </c>
      <c r="E19" s="66">
        <f>SUMPRODUCT(E13:E18,C13:C18)/C19</f>
        <v>4.6459887005649714</v>
      </c>
      <c r="P19" t="s">
        <v>184</v>
      </c>
      <c r="T19">
        <v>2026</v>
      </c>
    </row>
    <row r="20" spans="1:21" x14ac:dyDescent="0.25">
      <c r="A20" s="182" t="s">
        <v>121</v>
      </c>
      <c r="B20" s="182"/>
      <c r="D20" s="8">
        <f>SUM(D13:D18)</f>
        <v>5.75</v>
      </c>
      <c r="E20" s="66">
        <f>SUMPRODUCT(E13:E18,D13:D18)/D20</f>
        <v>4.9724695652173905</v>
      </c>
      <c r="L20" t="s">
        <v>182</v>
      </c>
      <c r="M20" t="s">
        <v>113</v>
      </c>
      <c r="N20" t="s">
        <v>183</v>
      </c>
      <c r="O20" t="s">
        <v>185</v>
      </c>
      <c r="P20" s="8">
        <v>0.03</v>
      </c>
      <c r="Q20" t="s">
        <v>183</v>
      </c>
      <c r="R20" t="s">
        <v>192</v>
      </c>
      <c r="S20" t="s">
        <v>193</v>
      </c>
    </row>
    <row r="21" spans="1:21" x14ac:dyDescent="0.25">
      <c r="I21" s="15" t="s">
        <v>139</v>
      </c>
      <c r="L21" s="19">
        <v>79875</v>
      </c>
      <c r="M21" s="20">
        <v>4.8</v>
      </c>
      <c r="N21" s="1">
        <f>M21*L21</f>
        <v>383400</v>
      </c>
      <c r="O21">
        <v>5</v>
      </c>
      <c r="P21" s="2">
        <f>FV($P$20,$O$21,,-M21)</f>
        <v>5.5645155566399991</v>
      </c>
      <c r="Q21" s="1">
        <f>P21*L21</f>
        <v>444465.68008661992</v>
      </c>
      <c r="R21" s="2">
        <v>4.95</v>
      </c>
      <c r="S21" s="1">
        <f>R21*$L$21</f>
        <v>395381.25</v>
      </c>
      <c r="T21" s="2">
        <f>FV($P$20,$O$21,,-R21)</f>
        <v>5.7384066677849992</v>
      </c>
      <c r="U21" s="2">
        <f>T21*L21</f>
        <v>458355.2325893268</v>
      </c>
    </row>
    <row r="22" spans="1:21" x14ac:dyDescent="0.25">
      <c r="C22" s="9">
        <f>AVERAGE(C13:C18)</f>
        <v>118000</v>
      </c>
      <c r="I22" s="15" t="s">
        <v>138</v>
      </c>
      <c r="L22" s="19">
        <v>29757</v>
      </c>
      <c r="M22" s="20">
        <v>5.36</v>
      </c>
      <c r="N22" s="1">
        <f>M22*L22</f>
        <v>159497.52000000002</v>
      </c>
      <c r="O22">
        <v>5</v>
      </c>
      <c r="P22" s="2">
        <f>FV($P$20,O22,,-M22)</f>
        <v>6.2137090382479991</v>
      </c>
      <c r="Q22" s="1">
        <f>P22*L22</f>
        <v>184901.33985114572</v>
      </c>
      <c r="R22" s="2">
        <v>5.75</v>
      </c>
      <c r="S22" s="1">
        <f>R22*L22</f>
        <v>171102.75</v>
      </c>
      <c r="T22" s="2">
        <f t="shared" ref="T22:T23" si="0">FV($P$20,$O$21,,-R22)</f>
        <v>6.6658259272249989</v>
      </c>
      <c r="U22" s="2">
        <f>T22*L22</f>
        <v>198354.98211643429</v>
      </c>
    </row>
    <row r="23" spans="1:21" x14ac:dyDescent="0.25">
      <c r="I23" s="15" t="s">
        <v>137</v>
      </c>
      <c r="L23" s="19">
        <v>50368</v>
      </c>
      <c r="M23" s="20">
        <v>5.58</v>
      </c>
      <c r="N23" s="1">
        <f>M23*L23</f>
        <v>281053.44</v>
      </c>
      <c r="O23">
        <v>5</v>
      </c>
      <c r="P23" s="2">
        <f>FV($P$20,O23,,-M23)</f>
        <v>6.4687493345939995</v>
      </c>
      <c r="Q23" s="1">
        <f>P23*L23</f>
        <v>325817.96648483054</v>
      </c>
      <c r="R23" s="2">
        <v>6</v>
      </c>
      <c r="S23" s="1">
        <f>R23*L23</f>
        <v>302208</v>
      </c>
      <c r="T23" s="2">
        <f t="shared" si="0"/>
        <v>6.9556444457999991</v>
      </c>
      <c r="U23" s="2">
        <f>T23*L23</f>
        <v>350341.89944605436</v>
      </c>
    </row>
    <row r="24" spans="1:21" x14ac:dyDescent="0.25">
      <c r="L24" s="9">
        <f>SUM(L21:L23)</f>
        <v>160000</v>
      </c>
      <c r="M24" s="2">
        <f>N24/L24</f>
        <v>5.1496934999999997</v>
      </c>
      <c r="N24" s="102">
        <f>SUM(N21:N23)</f>
        <v>823950.96</v>
      </c>
      <c r="Q24" s="1">
        <f>SUM(Q21:Q23)</f>
        <v>955184.98642259627</v>
      </c>
      <c r="R24" s="1"/>
      <c r="S24" s="1">
        <f>SUM(S21:S23)</f>
        <v>868692</v>
      </c>
      <c r="T24" s="1">
        <f>SUM(T21:T23)</f>
        <v>19.359877040809998</v>
      </c>
      <c r="U24" s="2">
        <f>SUM(U21:U23)</f>
        <v>1007052.1141518154</v>
      </c>
    </row>
    <row r="25" spans="1:21" x14ac:dyDescent="0.25">
      <c r="P25" t="s">
        <v>180</v>
      </c>
      <c r="Q25" s="2">
        <f>Q24/$L$24</f>
        <v>5.9699061651412269</v>
      </c>
      <c r="S25" s="66">
        <f>S24/$L$24</f>
        <v>5.4293250000000004</v>
      </c>
      <c r="T25" s="66">
        <f>T24/$L$24</f>
        <v>1.2099923150506249E-4</v>
      </c>
      <c r="U25" s="2">
        <f>U24/L24</f>
        <v>6.2940757134488461</v>
      </c>
    </row>
    <row r="26" spans="1:21" x14ac:dyDescent="0.25">
      <c r="I26" s="15" t="s">
        <v>178</v>
      </c>
      <c r="J26" s="9">
        <f>160000-J27</f>
        <v>136005</v>
      </c>
      <c r="K26" s="2">
        <v>4.78</v>
      </c>
      <c r="L26" s="1">
        <f>K26*J26</f>
        <v>650103.9</v>
      </c>
    </row>
    <row r="27" spans="1:21" x14ac:dyDescent="0.25">
      <c r="I27" s="15" t="s">
        <v>179</v>
      </c>
      <c r="J27" s="9">
        <v>23995</v>
      </c>
      <c r="K27" s="2">
        <v>10.97</v>
      </c>
      <c r="L27" s="1">
        <f>K27*J27</f>
        <v>263225.15000000002</v>
      </c>
    </row>
    <row r="28" spans="1:21" x14ac:dyDescent="0.25">
      <c r="L28" s="1">
        <f>SUM(L26:L27)</f>
        <v>913329.05</v>
      </c>
    </row>
    <row r="31" spans="1:21" x14ac:dyDescent="0.25">
      <c r="I31" t="s">
        <v>181</v>
      </c>
      <c r="J31" s="3" t="s">
        <v>180</v>
      </c>
      <c r="L31" s="66">
        <f>L28/160000</f>
        <v>5.7083065625000007</v>
      </c>
    </row>
    <row r="32" spans="1:21" x14ac:dyDescent="0.25">
      <c r="I32" t="s">
        <v>186</v>
      </c>
      <c r="L32" s="2">
        <f>Q25</f>
        <v>5.9699061651412269</v>
      </c>
    </row>
    <row r="33" spans="9:15" x14ac:dyDescent="0.25">
      <c r="I33" t="s">
        <v>187</v>
      </c>
      <c r="J33" s="19"/>
      <c r="K33" s="20"/>
      <c r="L33" s="2">
        <v>7.28</v>
      </c>
    </row>
    <row r="36" spans="9:15" x14ac:dyDescent="0.25">
      <c r="K36" t="s">
        <v>217</v>
      </c>
      <c r="L36" t="s">
        <v>218</v>
      </c>
      <c r="M36" t="s">
        <v>219</v>
      </c>
      <c r="N36" t="s">
        <v>220</v>
      </c>
      <c r="O36" t="s">
        <v>221</v>
      </c>
    </row>
    <row r="37" spans="9:15" x14ac:dyDescent="0.25">
      <c r="K37" t="s">
        <v>222</v>
      </c>
    </row>
    <row r="38" spans="9:15" x14ac:dyDescent="0.25">
      <c r="K38" t="s">
        <v>223</v>
      </c>
    </row>
    <row r="39" spans="9:15" x14ac:dyDescent="0.25">
      <c r="K39" t="s">
        <v>224</v>
      </c>
    </row>
  </sheetData>
  <mergeCells count="5">
    <mergeCell ref="B6:E6"/>
    <mergeCell ref="B7:E7"/>
    <mergeCell ref="B8:E8"/>
    <mergeCell ref="A19:B19"/>
    <mergeCell ref="A20:B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73CED8-B60C-4202-BE2A-8F79DBB295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Rent Projections</vt:lpstr>
      <vt:lpstr>Proforma</vt:lpstr>
      <vt:lpstr>Amortization</vt:lpstr>
      <vt:lpstr>Exhibits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Gillespie</dc:creator>
  <cp:lastModifiedBy>Ian Gillespie</cp:lastModifiedBy>
  <dcterms:created xsi:type="dcterms:W3CDTF">2023-12-03T19:00:16Z</dcterms:created>
  <dcterms:modified xsi:type="dcterms:W3CDTF">2025-01-09T20:03:56Z</dcterms:modified>
</cp:coreProperties>
</file>