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eb381ea344dbb4/Documents/GU - GRA/C_Multifamily Clinic/Deal 3 Valleyfield/"/>
    </mc:Choice>
  </mc:AlternateContent>
  <xr:revisionPtr revIDLastSave="3" documentId="8_{5859E14E-B581-4265-9546-3AD8A29FA060}" xr6:coauthVersionLast="47" xr6:coauthVersionMax="47" xr10:uidLastSave="{5A898677-50B2-45CB-B22E-8E943A3C8AE0}"/>
  <bookViews>
    <workbookView xWindow="-120" yWindow="-120" windowWidth="38640" windowHeight="21120" tabRatio="755" activeTab="1" xr2:uid="{1F9D9957-E8E6-4D96-84C5-5B0AEF46FC07}"/>
  </bookViews>
  <sheets>
    <sheet name="Investment Assumption Summary" sheetId="8" r:id="rId1"/>
    <sheet name="Operating Statement" sheetId="2" r:id="rId2"/>
    <sheet name="Rehab" sheetId="31" r:id="rId3"/>
    <sheet name="Inputs=&gt;" sheetId="30" r:id="rId4"/>
    <sheet name="T12" sheetId="32" r:id="rId5"/>
    <sheet name="Rent Roll" sheetId="16" r:id="rId6"/>
    <sheet name="Closing Cost Detail" sheetId="26" r:id="rId7"/>
    <sheet name="Other Capitalized Costs" sheetId="27" r:id="rId8"/>
    <sheet name="Debt Schedule" sheetId="13" r:id="rId9"/>
    <sheet name="APARTMENT CapEx" sheetId="33" r:id="rId10"/>
    <sheet name="Sheet1" sheetId="35" state="hidden" r:id="rId11"/>
    <sheet name="IRR Example in Class" sheetId="36" state="hidden" r:id="rId12"/>
    <sheet name="Comparables" sheetId="34" state="hidden" r:id="rId13"/>
  </sheets>
  <definedNames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Table1_In1" hidden="1">#REF!</definedName>
    <definedName name="_Table2_In2" hidden="1">#REF!</definedName>
    <definedName name="AptMonthlyCalcs">#REF!</definedName>
    <definedName name="asdf" localSheetId="9">#REF!</definedName>
    <definedName name="asdf" localSheetId="4">#REF!</definedName>
    <definedName name="asdf">#REF!</definedName>
    <definedName name="ClientFees">#REF!</definedName>
    <definedName name="ConstructionCompletion" localSheetId="9">#REF!</definedName>
    <definedName name="ConstructionCompletion" localSheetId="4">#REF!</definedName>
    <definedName name="ConstructionCompletion">#REF!</definedName>
    <definedName name="ConstructionStart" localSheetId="9">#REF!</definedName>
    <definedName name="ConstructionStart" localSheetId="4">#REF!</definedName>
    <definedName name="ConstructionStart">#REF!</definedName>
    <definedName name="Constructiontime" localSheetId="9">#REF!</definedName>
    <definedName name="Constructiontime" localSheetId="4">#REF!</definedName>
    <definedName name="Constructiontime">#REF!</definedName>
    <definedName name="DebtAdjustable">#REF!</definedName>
    <definedName name="DebtPiece1">#REF!</definedName>
    <definedName name="DebtPiece2">#REF!</definedName>
    <definedName name="DebtPiece3">#REF!</definedName>
    <definedName name="DebtSummary">#REF!</definedName>
    <definedName name="DispositionFees">#REF!</definedName>
    <definedName name="ExistingDebtSchedule">#REF!</definedName>
    <definedName name="FirstLoanSchedule">#REF!</definedName>
    <definedName name="FiscalMonth1" localSheetId="9">#REF!</definedName>
    <definedName name="FiscalMonth1" localSheetId="4">#REF!</definedName>
    <definedName name="FiscalMonth1">#REF!</definedName>
    <definedName name="HistoricalCF">#REF!</definedName>
    <definedName name="LandClosing" localSheetId="9">#REF!</definedName>
    <definedName name="LandClosing" localSheetId="4">#REF!</definedName>
    <definedName name="LandClosing">#REF!</definedName>
    <definedName name="nrAcquisitionFeeBasis">#REF!</definedName>
    <definedName name="nrAMFeeCalcMethod">#REF!</definedName>
    <definedName name="nrAMFeeCalcMethod2">#REF!</definedName>
    <definedName name="nrCFCapitalAdjustment">#REF!</definedName>
    <definedName name="nrContDistAdjustment">#REF!</definedName>
    <definedName name="nrDebtOptionsLookupRange">#REF!</definedName>
    <definedName name="nrDebtOptionsRange">#REF!</definedName>
    <definedName name="nrDevCFEquityTimingRange">#REF!</definedName>
    <definedName name="nrDevCFScenarios">#REF!</definedName>
    <definedName name="nrDispFeeCalcMethod">#REF!</definedName>
    <definedName name="nrDistributionSequence">#REF!</definedName>
    <definedName name="nrFundName">#REF!</definedName>
    <definedName name="nrInputReturns">#REF!</definedName>
    <definedName name="nrIRRYear">#REF!</definedName>
    <definedName name="nrKeyNumberReturnRange">#REF!</definedName>
    <definedName name="nrKeyNumberReturnType1">#REF!</definedName>
    <definedName name="nrKeyNumberReturnType2">#REF!</definedName>
    <definedName name="nrKeyNumberYearRange">#REF!</definedName>
    <definedName name="nrMaxFee">#REF!</definedName>
    <definedName name="nrMinFee">#REF!</definedName>
    <definedName name="nrMonthRange">#REF!</definedName>
    <definedName name="nrPerformanceFeeTiming">#REF!</definedName>
    <definedName name="nrPkgReturnRange">#REF!</definedName>
    <definedName name="nrProjectionStartDate">#REF!</definedName>
    <definedName name="nrPurchasePrice">#REF!</definedName>
    <definedName name="nrReturnsRange">#REF!</definedName>
    <definedName name="nrSquareFoot">#REF!</definedName>
    <definedName name="nrStabilizedYear">#REF!</definedName>
    <definedName name="nrTotalArea">#REF!</definedName>
    <definedName name="nrTotalUnits">#REF!</definedName>
    <definedName name="Offset" localSheetId="9">#REF!</definedName>
    <definedName name="Offset" localSheetId="4">#REF!</definedName>
    <definedName name="Offset">#REF!</definedName>
    <definedName name="_xlnm.Print_Area" localSheetId="2">Rehab!$B$1:$T$106</definedName>
    <definedName name="_xlnm.Print_Area" localSheetId="4">'T12'!$A$1:$Q$49</definedName>
    <definedName name="Project_Period" localSheetId="9">INDEX(#REF!,MATCH(0,#REF!,0)):INDEX(#REF!,MATCH(#REF!,#REF!,0))</definedName>
    <definedName name="Project_Period" localSheetId="6">INDEX(#REF!,MATCH(0,#REF!,0)):INDEX(#REF!,MATCH(#REF!,#REF!,0))</definedName>
    <definedName name="Project_Period" localSheetId="7">INDEX(#REF!,MATCH(0,#REF!,0)):INDEX(#REF!,MATCH(#REF!,#REF!,0))</definedName>
    <definedName name="Project_Period" localSheetId="4">INDEX(#REF!,MATCH(0,#REF!,0)):INDEX(#REF!,MATCH(#REF!,#REF!,0))</definedName>
    <definedName name="Project_Period">INDEX(#REF!,MATCH(0,#REF!,0)):INDEX(#REF!,MATCH(#REF!,#REF!,0))</definedName>
    <definedName name="PurchasePrice" localSheetId="9">#REF!</definedName>
    <definedName name="PurchasePrice" localSheetId="4">#REF!</definedName>
    <definedName name="PurchasePrice">#REF!</definedName>
    <definedName name="Sample1">#REF!</definedName>
    <definedName name="SecondLoanSchedule">#REF!</definedName>
    <definedName name="ShadeSum3">#REF!</definedName>
    <definedName name="solver_adj" localSheetId="0" hidden="1">'Investment Assumption Summary'!#REF!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'Investment Assumption Summary'!#REF!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8000000</definedName>
    <definedName name="TotalHardCost" localSheetId="9">#REF!</definedName>
    <definedName name="TotalHardCost" localSheetId="4">#REF!</definedName>
    <definedName name="TotalHardCost">#REF!</definedName>
    <definedName name="TotalRSF" localSheetId="9">#REF!</definedName>
    <definedName name="TotalRSF" localSheetId="4">#REF!</definedName>
    <definedName name="TotalRSF">#REF!</definedName>
    <definedName name="TotalSoftCosts" localSheetId="9">#REF!</definedName>
    <definedName name="TotalSoftCosts" localSheetId="4">#REF!</definedName>
    <definedName name="TotalSoft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36" l="1"/>
  <c r="Q11" i="36"/>
  <c r="Q10" i="36"/>
  <c r="D8" i="36"/>
  <c r="C8" i="36"/>
  <c r="B8" i="36"/>
  <c r="F5" i="36"/>
  <c r="F8" i="36" s="1"/>
  <c r="G5" i="36"/>
  <c r="G8" i="36" s="1"/>
  <c r="H5" i="36"/>
  <c r="H8" i="36" s="1"/>
  <c r="I5" i="36"/>
  <c r="I8" i="36" s="1"/>
  <c r="J5" i="36"/>
  <c r="J8" i="36" s="1"/>
  <c r="K5" i="36"/>
  <c r="K8" i="36" s="1"/>
  <c r="L5" i="36"/>
  <c r="L8" i="36" s="1"/>
  <c r="M5" i="36"/>
  <c r="N5" i="36"/>
  <c r="E5" i="36"/>
  <c r="E8" i="36" s="1"/>
  <c r="M6" i="36" l="1"/>
  <c r="M8" i="36" s="1"/>
  <c r="Q14" i="36" s="1"/>
  <c r="K11" i="35"/>
  <c r="J12" i="35"/>
  <c r="F12" i="35"/>
  <c r="F14" i="35" s="1"/>
  <c r="H42" i="34"/>
  <c r="H46" i="34"/>
  <c r="F48" i="34"/>
  <c r="F45" i="34"/>
  <c r="E45" i="34"/>
  <c r="D45" i="34"/>
  <c r="G45" i="34"/>
  <c r="K34" i="34"/>
  <c r="K21" i="34"/>
  <c r="N150" i="2"/>
  <c r="M150" i="2"/>
  <c r="L150" i="2"/>
  <c r="K150" i="2"/>
  <c r="J150" i="2"/>
  <c r="I150" i="2"/>
  <c r="H150" i="2"/>
  <c r="G150" i="2"/>
  <c r="V54" i="33"/>
  <c r="AE52" i="33"/>
  <c r="AD52" i="33"/>
  <c r="AC52" i="33"/>
  <c r="AB52" i="33"/>
  <c r="AA52" i="33"/>
  <c r="Z52" i="33"/>
  <c r="Y52" i="33"/>
  <c r="X52" i="33"/>
  <c r="W52" i="33"/>
  <c r="V52" i="33"/>
  <c r="U52" i="33"/>
  <c r="F153" i="2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H151" i="2"/>
  <c r="I151" i="2" s="1"/>
  <c r="J151" i="2" s="1"/>
  <c r="K151" i="2" s="1"/>
  <c r="L151" i="2" s="1"/>
  <c r="M151" i="2" s="1"/>
  <c r="N151" i="2" s="1"/>
  <c r="E148" i="2"/>
  <c r="P29" i="34" l="1"/>
  <c r="N29" i="34"/>
  <c r="P30" i="34"/>
  <c r="P32" i="34" s="1"/>
  <c r="P34" i="34" s="1"/>
  <c r="P35" i="34" s="1"/>
  <c r="N32" i="34"/>
  <c r="N34" i="34" s="1"/>
  <c r="N35" i="34" s="1"/>
  <c r="N30" i="34"/>
  <c r="R13" i="34" l="1"/>
  <c r="R12" i="34"/>
  <c r="R11" i="34"/>
  <c r="R10" i="34"/>
  <c r="R9" i="34"/>
  <c r="Q12" i="34" l="1"/>
  <c r="Q11" i="34"/>
  <c r="Q10" i="34"/>
  <c r="Q9" i="34"/>
  <c r="K17" i="34"/>
  <c r="I27" i="34"/>
  <c r="I35" i="34"/>
  <c r="G35" i="34"/>
  <c r="F35" i="34"/>
  <c r="E35" i="34"/>
  <c r="D35" i="34"/>
  <c r="D27" i="34"/>
  <c r="I34" i="34"/>
  <c r="I30" i="34"/>
  <c r="I26" i="34"/>
  <c r="AA34" i="33"/>
  <c r="V34" i="33"/>
  <c r="Z15" i="33"/>
  <c r="U16" i="33"/>
  <c r="U26" i="33"/>
  <c r="H8" i="31" l="1"/>
  <c r="H7" i="31"/>
  <c r="H6" i="31"/>
  <c r="H5" i="31"/>
  <c r="G8" i="31"/>
  <c r="G7" i="31"/>
  <c r="G6" i="31"/>
  <c r="G5" i="31"/>
  <c r="C8" i="31"/>
  <c r="C7" i="31"/>
  <c r="C6" i="31"/>
  <c r="C5" i="31"/>
  <c r="F8" i="31"/>
  <c r="F7" i="31"/>
  <c r="F6" i="31"/>
  <c r="F5" i="31"/>
  <c r="E140" i="2"/>
  <c r="R57" i="2"/>
  <c r="Q57" i="2"/>
  <c r="P57" i="2"/>
  <c r="O57" i="2"/>
  <c r="N57" i="2"/>
  <c r="M57" i="2"/>
  <c r="L57" i="2"/>
  <c r="K57" i="2"/>
  <c r="J57" i="2"/>
  <c r="I57" i="2"/>
  <c r="R56" i="2"/>
  <c r="Q56" i="2"/>
  <c r="P56" i="2"/>
  <c r="O56" i="2"/>
  <c r="N56" i="2"/>
  <c r="M56" i="2"/>
  <c r="L56" i="2"/>
  <c r="K56" i="2"/>
  <c r="J56" i="2"/>
  <c r="I56" i="2"/>
  <c r="R53" i="2"/>
  <c r="Q53" i="2"/>
  <c r="P53" i="2"/>
  <c r="O53" i="2"/>
  <c r="N53" i="2"/>
  <c r="M53" i="2"/>
  <c r="L53" i="2"/>
  <c r="K53" i="2"/>
  <c r="J53" i="2"/>
  <c r="I53" i="2"/>
  <c r="R51" i="2"/>
  <c r="Q51" i="2"/>
  <c r="P51" i="2"/>
  <c r="O51" i="2"/>
  <c r="N51" i="2"/>
  <c r="M51" i="2"/>
  <c r="L51" i="2"/>
  <c r="K51" i="2"/>
  <c r="J51" i="2"/>
  <c r="I51" i="2"/>
  <c r="R49" i="2"/>
  <c r="Q49" i="2"/>
  <c r="P49" i="2"/>
  <c r="O49" i="2"/>
  <c r="N49" i="2"/>
  <c r="M49" i="2"/>
  <c r="L49" i="2"/>
  <c r="K49" i="2"/>
  <c r="J49" i="2"/>
  <c r="I49" i="2"/>
  <c r="S48" i="2"/>
  <c r="R48" i="2"/>
  <c r="Q48" i="2"/>
  <c r="P48" i="2"/>
  <c r="O48" i="2"/>
  <c r="N48" i="2"/>
  <c r="M48" i="2"/>
  <c r="L48" i="2"/>
  <c r="K48" i="2"/>
  <c r="J48" i="2"/>
  <c r="I48" i="2"/>
  <c r="R45" i="2"/>
  <c r="Q45" i="2"/>
  <c r="P45" i="2"/>
  <c r="O45" i="2"/>
  <c r="N45" i="2"/>
  <c r="M45" i="2"/>
  <c r="L45" i="2"/>
  <c r="K45" i="2"/>
  <c r="J45" i="2"/>
  <c r="I45" i="2"/>
  <c r="B23" i="31" l="1"/>
  <c r="K22" i="8"/>
  <c r="K27" i="8"/>
  <c r="O44" i="32"/>
  <c r="N44" i="32"/>
  <c r="M44" i="32"/>
  <c r="L44" i="32"/>
  <c r="K44" i="32"/>
  <c r="J44" i="32"/>
  <c r="I44" i="32"/>
  <c r="H44" i="32"/>
  <c r="G44" i="32"/>
  <c r="F44" i="32"/>
  <c r="E44" i="32"/>
  <c r="D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O8" i="32"/>
  <c r="N8" i="32"/>
  <c r="M8" i="32"/>
  <c r="L8" i="32"/>
  <c r="K8" i="32"/>
  <c r="J8" i="32"/>
  <c r="I8" i="32"/>
  <c r="H8" i="32"/>
  <c r="G8" i="32"/>
  <c r="F8" i="32"/>
  <c r="E8" i="32"/>
  <c r="D8" i="32"/>
  <c r="O7" i="32"/>
  <c r="N7" i="32"/>
  <c r="M7" i="32"/>
  <c r="L7" i="32"/>
  <c r="K7" i="32"/>
  <c r="J7" i="32"/>
  <c r="I7" i="32"/>
  <c r="H7" i="32"/>
  <c r="G7" i="32"/>
  <c r="F7" i="32"/>
  <c r="E7" i="32"/>
  <c r="D7" i="32"/>
  <c r="V29" i="33" l="1"/>
  <c r="W29" i="33"/>
  <c r="X29" i="33"/>
  <c r="Y29" i="33"/>
  <c r="Z29" i="33"/>
  <c r="AA29" i="33"/>
  <c r="AB29" i="33"/>
  <c r="AC29" i="33"/>
  <c r="AD29" i="33"/>
  <c r="AE29" i="33"/>
  <c r="U29" i="33"/>
  <c r="L31" i="31"/>
  <c r="L30" i="31"/>
  <c r="L29" i="31"/>
  <c r="L28" i="31"/>
  <c r="L27" i="31"/>
  <c r="L26" i="31"/>
  <c r="L25" i="31"/>
  <c r="L24" i="31"/>
  <c r="L23" i="31"/>
  <c r="L22" i="31"/>
  <c r="L21" i="31"/>
  <c r="B24" i="31"/>
  <c r="D4" i="32"/>
  <c r="B11" i="2"/>
  <c r="B12" i="2"/>
  <c r="B13" i="2"/>
  <c r="B10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9" i="2"/>
  <c r="F25" i="31" l="1"/>
  <c r="F26" i="31" s="1"/>
  <c r="F27" i="31" s="1"/>
  <c r="F28" i="31" s="1"/>
  <c r="F29" i="31" s="1"/>
  <c r="F30" i="31" s="1"/>
  <c r="F31" i="31" s="1"/>
  <c r="F32" i="31" s="1"/>
  <c r="F33" i="31" s="1"/>
  <c r="F34" i="31" s="1"/>
  <c r="F35" i="31" s="1"/>
  <c r="F36" i="31" s="1"/>
  <c r="F37" i="31" s="1"/>
  <c r="F38" i="31" s="1"/>
  <c r="F39" i="31" s="1"/>
  <c r="F40" i="31" s="1"/>
  <c r="F41" i="31" s="1"/>
  <c r="F42" i="31" s="1"/>
  <c r="F43" i="31" s="1"/>
  <c r="F44" i="31" s="1"/>
  <c r="F45" i="31" s="1"/>
  <c r="F46" i="31" s="1"/>
  <c r="F47" i="31" s="1"/>
  <c r="F48" i="31" s="1"/>
  <c r="F49" i="31" s="1"/>
  <c r="F50" i="31" s="1"/>
  <c r="F51" i="31" s="1"/>
  <c r="F52" i="31" s="1"/>
  <c r="F53" i="31" s="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F65" i="31" s="1"/>
  <c r="F66" i="31" s="1"/>
  <c r="F67" i="31" s="1"/>
  <c r="F68" i="31" s="1"/>
  <c r="F69" i="31" s="1"/>
  <c r="F70" i="31" s="1"/>
  <c r="F71" i="31" s="1"/>
  <c r="F72" i="31" s="1"/>
  <c r="F73" i="31" s="1"/>
  <c r="F74" i="31" s="1"/>
  <c r="F75" i="31" s="1"/>
  <c r="F76" i="31" s="1"/>
  <c r="F77" i="31" s="1"/>
  <c r="F78" i="31" s="1"/>
  <c r="F79" i="31" s="1"/>
  <c r="F80" i="31" s="1"/>
  <c r="F81" i="31" s="1"/>
  <c r="F82" i="31" s="1"/>
  <c r="F83" i="31" s="1"/>
  <c r="F84" i="31" s="1"/>
  <c r="F85" i="31" s="1"/>
  <c r="F86" i="31" s="1"/>
  <c r="F87" i="31" s="1"/>
  <c r="F88" i="31" s="1"/>
  <c r="F89" i="31" s="1"/>
  <c r="F90" i="31" s="1"/>
  <c r="F91" i="31" s="1"/>
  <c r="F92" i="31" s="1"/>
  <c r="F93" i="31" s="1"/>
  <c r="F94" i="31" s="1"/>
  <c r="F95" i="31" s="1"/>
  <c r="F96" i="31" s="1"/>
  <c r="F97" i="31" s="1"/>
  <c r="F98" i="31" s="1"/>
  <c r="F99" i="31" s="1"/>
  <c r="F100" i="31" s="1"/>
  <c r="F101" i="31" s="1"/>
  <c r="F102" i="31" s="1"/>
  <c r="F103" i="31" s="1"/>
  <c r="F104" i="31" s="1"/>
  <c r="F105" i="31" s="1"/>
  <c r="F106" i="31" s="1"/>
  <c r="F107" i="31" s="1"/>
  <c r="F108" i="31" s="1"/>
  <c r="F109" i="31" s="1"/>
  <c r="F110" i="31" s="1"/>
  <c r="F111" i="31" s="1"/>
  <c r="F112" i="31" s="1"/>
  <c r="F113" i="31" s="1"/>
  <c r="F114" i="31" s="1"/>
  <c r="F115" i="31" s="1"/>
  <c r="F116" i="31" s="1"/>
  <c r="F117" i="31" s="1"/>
  <c r="F118" i="31" s="1"/>
  <c r="F119" i="31" s="1"/>
  <c r="F120" i="31" s="1"/>
  <c r="F121" i="31" s="1"/>
  <c r="F122" i="31" s="1"/>
  <c r="F123" i="31" s="1"/>
  <c r="F124" i="31" s="1"/>
  <c r="F125" i="31" s="1"/>
  <c r="F126" i="31" s="1"/>
  <c r="F127" i="31" s="1"/>
  <c r="F128" i="31" s="1"/>
  <c r="F129" i="31" s="1"/>
  <c r="F130" i="31" s="1"/>
  <c r="F131" i="31" s="1"/>
  <c r="F132" i="31" s="1"/>
  <c r="F133" i="31" s="1"/>
  <c r="F134" i="31" s="1"/>
  <c r="F135" i="31" s="1"/>
  <c r="F136" i="31" s="1"/>
  <c r="F137" i="31" s="1"/>
  <c r="F138" i="31" s="1"/>
  <c r="F139" i="31" s="1"/>
  <c r="F140" i="31" s="1"/>
  <c r="F141" i="31" s="1"/>
  <c r="F142" i="31" s="1"/>
  <c r="F143" i="31" s="1"/>
  <c r="F144" i="31" s="1"/>
  <c r="F145" i="31" s="1"/>
  <c r="F146" i="31" s="1"/>
  <c r="F147" i="31" s="1"/>
  <c r="F148" i="31" s="1"/>
  <c r="F149" i="31" s="1"/>
  <c r="F150" i="31" s="1"/>
  <c r="F151" i="31" s="1"/>
  <c r="F152" i="31" s="1"/>
  <c r="F153" i="31" s="1"/>
  <c r="F154" i="31" s="1"/>
  <c r="B25" i="3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H24" i="3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H54" i="31" s="1"/>
  <c r="H55" i="31" s="1"/>
  <c r="H56" i="31" s="1"/>
  <c r="H57" i="31" s="1"/>
  <c r="H58" i="31" s="1"/>
  <c r="H59" i="31" s="1"/>
  <c r="H60" i="31" s="1"/>
  <c r="H61" i="31" s="1"/>
  <c r="H62" i="31" s="1"/>
  <c r="H63" i="31" s="1"/>
  <c r="H64" i="31" s="1"/>
  <c r="H65" i="31" s="1"/>
  <c r="H66" i="31" s="1"/>
  <c r="H67" i="31" s="1"/>
  <c r="H68" i="31" s="1"/>
  <c r="H69" i="31" s="1"/>
  <c r="H70" i="31" s="1"/>
  <c r="H71" i="31" s="1"/>
  <c r="H72" i="31" s="1"/>
  <c r="H73" i="31" s="1"/>
  <c r="H74" i="31" s="1"/>
  <c r="H75" i="31" s="1"/>
  <c r="H76" i="31" s="1"/>
  <c r="H77" i="31" s="1"/>
  <c r="H78" i="31" s="1"/>
  <c r="H79" i="31" s="1"/>
  <c r="H80" i="31" s="1"/>
  <c r="H81" i="31" s="1"/>
  <c r="H82" i="31" s="1"/>
  <c r="H83" i="31" s="1"/>
  <c r="H84" i="31" s="1"/>
  <c r="H85" i="31" s="1"/>
  <c r="H86" i="31" s="1"/>
  <c r="H87" i="31" s="1"/>
  <c r="H88" i="31" s="1"/>
  <c r="H89" i="31" s="1"/>
  <c r="H90" i="31" s="1"/>
  <c r="H91" i="31" s="1"/>
  <c r="H92" i="31" s="1"/>
  <c r="H93" i="31" s="1"/>
  <c r="H94" i="31" s="1"/>
  <c r="H95" i="31" s="1"/>
  <c r="H96" i="31" s="1"/>
  <c r="H97" i="31" s="1"/>
  <c r="H98" i="31" s="1"/>
  <c r="H99" i="31" s="1"/>
  <c r="H100" i="31" s="1"/>
  <c r="H101" i="31" s="1"/>
  <c r="H102" i="31" s="1"/>
  <c r="H103" i="31" s="1"/>
  <c r="H104" i="31" s="1"/>
  <c r="H105" i="31" s="1"/>
  <c r="H106" i="31" s="1"/>
  <c r="H107" i="31" s="1"/>
  <c r="H108" i="31" s="1"/>
  <c r="H109" i="31" s="1"/>
  <c r="H110" i="31" s="1"/>
  <c r="H111" i="31" s="1"/>
  <c r="H112" i="31" s="1"/>
  <c r="H113" i="31" s="1"/>
  <c r="H114" i="31" s="1"/>
  <c r="H115" i="31" s="1"/>
  <c r="H116" i="31" s="1"/>
  <c r="H117" i="31" s="1"/>
  <c r="H118" i="31" s="1"/>
  <c r="H119" i="31" s="1"/>
  <c r="H120" i="31" s="1"/>
  <c r="H121" i="31" s="1"/>
  <c r="H122" i="31" s="1"/>
  <c r="H123" i="31" s="1"/>
  <c r="H124" i="31" s="1"/>
  <c r="H125" i="31" s="1"/>
  <c r="H126" i="31" s="1"/>
  <c r="H127" i="31" s="1"/>
  <c r="H128" i="31" s="1"/>
  <c r="H129" i="31" s="1"/>
  <c r="H130" i="31" s="1"/>
  <c r="H131" i="31" s="1"/>
  <c r="H132" i="31" s="1"/>
  <c r="H133" i="31" s="1"/>
  <c r="H134" i="31" s="1"/>
  <c r="H135" i="31" s="1"/>
  <c r="H136" i="31" s="1"/>
  <c r="H137" i="31" s="1"/>
  <c r="H138" i="31" s="1"/>
  <c r="H139" i="31" s="1"/>
  <c r="H140" i="31" s="1"/>
  <c r="H141" i="31" s="1"/>
  <c r="H142" i="31" s="1"/>
  <c r="H143" i="31" s="1"/>
  <c r="H144" i="31" s="1"/>
  <c r="H145" i="31" s="1"/>
  <c r="H146" i="31" s="1"/>
  <c r="H147" i="31" s="1"/>
  <c r="H148" i="31" s="1"/>
  <c r="H149" i="31" s="1"/>
  <c r="H150" i="31" s="1"/>
  <c r="H151" i="31" s="1"/>
  <c r="H152" i="31" s="1"/>
  <c r="H153" i="31" s="1"/>
  <c r="H154" i="31" s="1"/>
  <c r="F24" i="31"/>
  <c r="C24" i="31"/>
  <c r="C25" i="31" s="1"/>
  <c r="K23" i="31"/>
  <c r="K24" i="31" s="1"/>
  <c r="K25" i="31" s="1"/>
  <c r="K26" i="31" s="1"/>
  <c r="K27" i="31" s="1"/>
  <c r="K28" i="31" s="1"/>
  <c r="K29" i="31" s="1"/>
  <c r="K30" i="31" s="1"/>
  <c r="K31" i="31" s="1"/>
  <c r="H23" i="31"/>
  <c r="F23" i="31"/>
  <c r="K22" i="31"/>
  <c r="T21" i="31"/>
  <c r="T22" i="31" s="1"/>
  <c r="T23" i="31" s="1"/>
  <c r="N18" i="31"/>
  <c r="P17" i="31"/>
  <c r="I17" i="31"/>
  <c r="K17" i="31"/>
  <c r="M17" i="31" s="1"/>
  <c r="Q17" i="31"/>
  <c r="L17" i="31"/>
  <c r="P16" i="31"/>
  <c r="I16" i="31"/>
  <c r="K16" i="31"/>
  <c r="M16" i="31" s="1"/>
  <c r="Q16" i="31"/>
  <c r="L16" i="31"/>
  <c r="P15" i="31"/>
  <c r="I15" i="31"/>
  <c r="K15" i="31"/>
  <c r="M15" i="31" s="1"/>
  <c r="Q15" i="31"/>
  <c r="L15" i="31"/>
  <c r="P14" i="31"/>
  <c r="I14" i="31"/>
  <c r="K14" i="31"/>
  <c r="M14" i="31" s="1"/>
  <c r="Q14" i="31"/>
  <c r="L14" i="31"/>
  <c r="P13" i="31"/>
  <c r="I13" i="31"/>
  <c r="K13" i="31"/>
  <c r="M13" i="31" s="1"/>
  <c r="Q13" i="31"/>
  <c r="L13" i="31"/>
  <c r="P12" i="31"/>
  <c r="I12" i="31"/>
  <c r="K12" i="31"/>
  <c r="M12" i="31" s="1"/>
  <c r="Q12" i="31"/>
  <c r="L12" i="31"/>
  <c r="P11" i="31"/>
  <c r="I11" i="31"/>
  <c r="K11" i="31"/>
  <c r="M11" i="31" s="1"/>
  <c r="Q11" i="31"/>
  <c r="L11" i="31"/>
  <c r="P10" i="31"/>
  <c r="I10" i="31"/>
  <c r="K10" i="31"/>
  <c r="M10" i="31" s="1"/>
  <c r="Q10" i="31"/>
  <c r="L10" i="31"/>
  <c r="P9" i="31"/>
  <c r="I9" i="31"/>
  <c r="K9" i="31"/>
  <c r="M9" i="31" s="1"/>
  <c r="Q9" i="31"/>
  <c r="L9" i="31"/>
  <c r="P8" i="31"/>
  <c r="I8" i="31"/>
  <c r="K8" i="31"/>
  <c r="M8" i="31" s="1"/>
  <c r="Q8" i="31"/>
  <c r="P7" i="31"/>
  <c r="K7" i="31"/>
  <c r="M7" i="31" s="1"/>
  <c r="I7" i="31"/>
  <c r="Q7" i="31"/>
  <c r="P6" i="31"/>
  <c r="K6" i="31"/>
  <c r="M6" i="31" s="1"/>
  <c r="P5" i="31"/>
  <c r="K5" i="31"/>
  <c r="L5" i="31" s="1"/>
  <c r="L8" i="31" l="1"/>
  <c r="L7" i="31"/>
  <c r="P18" i="31"/>
  <c r="N86" i="31" s="1"/>
  <c r="N109" i="31"/>
  <c r="N134" i="31"/>
  <c r="N141" i="31"/>
  <c r="N26" i="31"/>
  <c r="N49" i="31"/>
  <c r="N55" i="31"/>
  <c r="N130" i="31"/>
  <c r="N108" i="31"/>
  <c r="N51" i="31"/>
  <c r="N57" i="31"/>
  <c r="N120" i="31"/>
  <c r="L6" i="31"/>
  <c r="L18" i="31" s="1"/>
  <c r="C26" i="31"/>
  <c r="M5" i="31"/>
  <c r="C159" i="31"/>
  <c r="P161" i="31"/>
  <c r="K161" i="31"/>
  <c r="K158" i="31"/>
  <c r="C161" i="31"/>
  <c r="C158" i="31"/>
  <c r="P160" i="31"/>
  <c r="C18" i="31"/>
  <c r="D7" i="31" s="1"/>
  <c r="D9" i="31"/>
  <c r="D10" i="31"/>
  <c r="D11" i="31"/>
  <c r="D12" i="31"/>
  <c r="D13" i="31"/>
  <c r="D14" i="31"/>
  <c r="D15" i="31"/>
  <c r="D16" i="31"/>
  <c r="D17" i="31"/>
  <c r="Q5" i="31"/>
  <c r="P158" i="31" s="1"/>
  <c r="G18" i="31"/>
  <c r="I5" i="31"/>
  <c r="I6" i="31"/>
  <c r="Q6" i="31"/>
  <c r="P159" i="31" s="1"/>
  <c r="C160" i="31"/>
  <c r="K160" i="31"/>
  <c r="K18" i="31" l="1"/>
  <c r="M18" i="31" s="1"/>
  <c r="H18" i="31"/>
  <c r="D8" i="31"/>
  <c r="D5" i="31"/>
  <c r="K159" i="31"/>
  <c r="L159" i="31" s="1"/>
  <c r="L161" i="31"/>
  <c r="D6" i="31"/>
  <c r="I18" i="31"/>
  <c r="O23" i="31" s="1"/>
  <c r="O24" i="31" s="1"/>
  <c r="N71" i="31"/>
  <c r="N47" i="31"/>
  <c r="N68" i="31"/>
  <c r="N151" i="31"/>
  <c r="N39" i="31"/>
  <c r="N139" i="31"/>
  <c r="N125" i="31"/>
  <c r="N93" i="31"/>
  <c r="N96" i="31"/>
  <c r="N115" i="31"/>
  <c r="N135" i="31"/>
  <c r="N76" i="31"/>
  <c r="N119" i="31"/>
  <c r="N30" i="31"/>
  <c r="N53" i="31"/>
  <c r="N74" i="31"/>
  <c r="N136" i="31"/>
  <c r="N77" i="31"/>
  <c r="N133" i="31"/>
  <c r="N54" i="31"/>
  <c r="N28" i="31"/>
  <c r="N107" i="31"/>
  <c r="N48" i="31"/>
  <c r="N75" i="31"/>
  <c r="N137" i="31"/>
  <c r="N90" i="31"/>
  <c r="N31" i="31"/>
  <c r="N138" i="31"/>
  <c r="N113" i="31"/>
  <c r="N81" i="31"/>
  <c r="N131" i="31"/>
  <c r="N72" i="31"/>
  <c r="N140" i="31"/>
  <c r="N132" i="31"/>
  <c r="N65" i="31"/>
  <c r="N149" i="31"/>
  <c r="N62" i="31"/>
  <c r="N67" i="31"/>
  <c r="N89" i="31"/>
  <c r="N59" i="31"/>
  <c r="N150" i="31"/>
  <c r="N112" i="31"/>
  <c r="N87" i="31"/>
  <c r="N143" i="31"/>
  <c r="N45" i="31"/>
  <c r="N153" i="31"/>
  <c r="N66" i="31"/>
  <c r="N42" i="31"/>
  <c r="N144" i="31"/>
  <c r="N95" i="31"/>
  <c r="N152" i="31"/>
  <c r="N36" i="31"/>
  <c r="N127" i="31"/>
  <c r="N80" i="31"/>
  <c r="N148" i="31"/>
  <c r="N78" i="31"/>
  <c r="N146" i="31"/>
  <c r="N105" i="31"/>
  <c r="N121" i="31"/>
  <c r="N126" i="31"/>
  <c r="N114" i="31"/>
  <c r="N102" i="31"/>
  <c r="N147" i="31"/>
  <c r="N106" i="31"/>
  <c r="N129" i="31"/>
  <c r="N117" i="31"/>
  <c r="N145" i="31"/>
  <c r="N64" i="31"/>
  <c r="N52" i="31"/>
  <c r="N83" i="31"/>
  <c r="N111" i="31"/>
  <c r="N58" i="31"/>
  <c r="N46" i="31"/>
  <c r="N124" i="31"/>
  <c r="N123" i="31"/>
  <c r="N128" i="31"/>
  <c r="N103" i="31"/>
  <c r="N91" i="31"/>
  <c r="N79" i="31"/>
  <c r="N118" i="31"/>
  <c r="N60" i="31"/>
  <c r="N100" i="31"/>
  <c r="N88" i="31"/>
  <c r="N122" i="31"/>
  <c r="N41" i="31"/>
  <c r="N29" i="31"/>
  <c r="N97" i="31"/>
  <c r="N85" i="31"/>
  <c r="N73" i="31"/>
  <c r="N101" i="31"/>
  <c r="N37" i="31"/>
  <c r="N94" i="31"/>
  <c r="N82" i="31"/>
  <c r="N99" i="31"/>
  <c r="N35" i="31"/>
  <c r="N24" i="31"/>
  <c r="N116" i="31"/>
  <c r="N104" i="31"/>
  <c r="N92" i="31"/>
  <c r="N154" i="31"/>
  <c r="N142" i="31"/>
  <c r="N84" i="31"/>
  <c r="N32" i="31"/>
  <c r="N43" i="31"/>
  <c r="N25" i="31"/>
  <c r="N70" i="31"/>
  <c r="N110" i="31"/>
  <c r="N98" i="31"/>
  <c r="O18" i="31"/>
  <c r="N34" i="31"/>
  <c r="N69" i="31"/>
  <c r="N33" i="31"/>
  <c r="N23" i="31"/>
  <c r="N63" i="31"/>
  <c r="N27" i="31"/>
  <c r="N56" i="31"/>
  <c r="N44" i="31"/>
  <c r="N61" i="31"/>
  <c r="N50" i="31"/>
  <c r="N40" i="31"/>
  <c r="N38" i="31"/>
  <c r="K162" i="31"/>
  <c r="P45" i="31"/>
  <c r="P39" i="31"/>
  <c r="P27" i="31"/>
  <c r="P38" i="31"/>
  <c r="P56" i="31"/>
  <c r="P50" i="31"/>
  <c r="P33" i="31"/>
  <c r="P44" i="31"/>
  <c r="P23" i="31"/>
  <c r="P55" i="31"/>
  <c r="P43" i="31"/>
  <c r="P37" i="31"/>
  <c r="P48" i="31"/>
  <c r="P25" i="31"/>
  <c r="P49" i="31"/>
  <c r="P54" i="31"/>
  <c r="P31" i="31"/>
  <c r="P42" i="31"/>
  <c r="P36" i="31"/>
  <c r="P24" i="31"/>
  <c r="P51" i="31"/>
  <c r="P53" i="31"/>
  <c r="P47" i="31"/>
  <c r="P30" i="31"/>
  <c r="P58" i="31"/>
  <c r="P35" i="31"/>
  <c r="P32" i="31"/>
  <c r="P41" i="31"/>
  <c r="P29" i="31"/>
  <c r="P26" i="31"/>
  <c r="P52" i="31"/>
  <c r="P46" i="31"/>
  <c r="P40" i="31"/>
  <c r="P34" i="31"/>
  <c r="P57" i="31"/>
  <c r="P28" i="31"/>
  <c r="L158" i="31"/>
  <c r="Q18" i="31"/>
  <c r="P162" i="31" s="1"/>
  <c r="C162" i="31"/>
  <c r="D23" i="31"/>
  <c r="L160" i="31"/>
  <c r="C27" i="31"/>
  <c r="J18" i="31" l="1"/>
  <c r="D18" i="31"/>
  <c r="L162" i="31"/>
  <c r="Q23" i="31"/>
  <c r="D24" i="31"/>
  <c r="I23" i="31"/>
  <c r="C28" i="31"/>
  <c r="Q24" i="31"/>
  <c r="O25" i="31"/>
  <c r="D25" i="31" l="1"/>
  <c r="I24" i="31"/>
  <c r="Q25" i="31"/>
  <c r="O26" i="31"/>
  <c r="C29" i="31"/>
  <c r="C30" i="31" l="1"/>
  <c r="D26" i="31"/>
  <c r="I25" i="31"/>
  <c r="Q26" i="31"/>
  <c r="O27" i="31"/>
  <c r="Q27" i="31" l="1"/>
  <c r="O28" i="31"/>
  <c r="I26" i="31"/>
  <c r="D27" i="31"/>
  <c r="C31" i="31"/>
  <c r="I27" i="31" l="1"/>
  <c r="D28" i="31"/>
  <c r="C32" i="31"/>
  <c r="Q28" i="31"/>
  <c r="O29" i="31"/>
  <c r="Q29" i="31" l="1"/>
  <c r="O30" i="31"/>
  <c r="C33" i="31"/>
  <c r="I28" i="31"/>
  <c r="D29" i="31"/>
  <c r="I29" i="31" l="1"/>
  <c r="D30" i="31"/>
  <c r="C34" i="31"/>
  <c r="Q30" i="31"/>
  <c r="O31" i="31"/>
  <c r="Q31" i="31" l="1"/>
  <c r="O32" i="31"/>
  <c r="C35" i="31"/>
  <c r="I30" i="31"/>
  <c r="D31" i="31"/>
  <c r="C36" i="31" l="1"/>
  <c r="I31" i="31"/>
  <c r="D32" i="31"/>
  <c r="Q32" i="31"/>
  <c r="O33" i="31"/>
  <c r="C37" i="31" l="1"/>
  <c r="Q33" i="31"/>
  <c r="O34" i="31"/>
  <c r="Q34" i="31" s="1"/>
  <c r="I32" i="31"/>
  <c r="D33" i="31"/>
  <c r="C38" i="31" l="1"/>
  <c r="I33" i="31"/>
  <c r="D34" i="31"/>
  <c r="R34" i="31"/>
  <c r="O35" i="31"/>
  <c r="C39" i="31" l="1"/>
  <c r="Q35" i="31"/>
  <c r="O36" i="31"/>
  <c r="I34" i="31"/>
  <c r="J34" i="31" s="1"/>
  <c r="H50" i="2" s="1"/>
  <c r="D35" i="31"/>
  <c r="D36" i="31" l="1"/>
  <c r="I35" i="31"/>
  <c r="C40" i="31"/>
  <c r="Q36" i="31"/>
  <c r="O37" i="31"/>
  <c r="D37" i="31" l="1"/>
  <c r="I36" i="31"/>
  <c r="Q37" i="31"/>
  <c r="O38" i="31"/>
  <c r="C41" i="31"/>
  <c r="D38" i="31" l="1"/>
  <c r="I37" i="31"/>
  <c r="C42" i="31"/>
  <c r="Q38" i="31"/>
  <c r="O39" i="31"/>
  <c r="I38" i="31" l="1"/>
  <c r="D39" i="31"/>
  <c r="Q39" i="31"/>
  <c r="O40" i="31"/>
  <c r="C43" i="31"/>
  <c r="C44" i="31" l="1"/>
  <c r="Q40" i="31"/>
  <c r="O41" i="31"/>
  <c r="I39" i="31"/>
  <c r="D40" i="31"/>
  <c r="C45" i="31" l="1"/>
  <c r="I40" i="31"/>
  <c r="D41" i="31"/>
  <c r="Q41" i="31"/>
  <c r="O42" i="31"/>
  <c r="C46" i="31" l="1"/>
  <c r="Q42" i="31"/>
  <c r="O43" i="31"/>
  <c r="D42" i="31"/>
  <c r="I41" i="31"/>
  <c r="D43" i="31" l="1"/>
  <c r="I42" i="31"/>
  <c r="Q43" i="31"/>
  <c r="O44" i="31"/>
  <c r="C47" i="31"/>
  <c r="D44" i="31" l="1"/>
  <c r="I43" i="31"/>
  <c r="C48" i="31"/>
  <c r="Q44" i="31"/>
  <c r="O45" i="31"/>
  <c r="D45" i="31" l="1"/>
  <c r="I44" i="31"/>
  <c r="Q45" i="31"/>
  <c r="O46" i="31"/>
  <c r="Q46" i="31" s="1"/>
  <c r="C49" i="31"/>
  <c r="C50" i="31" l="1"/>
  <c r="I45" i="31"/>
  <c r="D46" i="31"/>
  <c r="R46" i="31"/>
  <c r="O47" i="31"/>
  <c r="C51" i="31" l="1"/>
  <c r="Q47" i="31"/>
  <c r="O48" i="31"/>
  <c r="I46" i="31"/>
  <c r="J46" i="31" s="1"/>
  <c r="D47" i="31"/>
  <c r="C52" i="31" l="1"/>
  <c r="I47" i="31"/>
  <c r="D48" i="31"/>
  <c r="Q48" i="31"/>
  <c r="O49" i="31"/>
  <c r="C53" i="31" l="1"/>
  <c r="Q49" i="31"/>
  <c r="O50" i="31"/>
  <c r="D49" i="31"/>
  <c r="I48" i="31"/>
  <c r="C54" i="31" l="1"/>
  <c r="D50" i="31"/>
  <c r="I49" i="31"/>
  <c r="Q50" i="31"/>
  <c r="O51" i="31"/>
  <c r="Q51" i="31" l="1"/>
  <c r="O52" i="31"/>
  <c r="C55" i="31"/>
  <c r="D51" i="31"/>
  <c r="I50" i="31"/>
  <c r="C56" i="31" l="1"/>
  <c r="D52" i="31"/>
  <c r="I51" i="31"/>
  <c r="Q52" i="31"/>
  <c r="O53" i="31"/>
  <c r="Q53" i="31" l="1"/>
  <c r="O54" i="31"/>
  <c r="I52" i="31"/>
  <c r="D53" i="31"/>
  <c r="C57" i="31"/>
  <c r="C58" i="31" l="1"/>
  <c r="D54" i="31"/>
  <c r="I53" i="31"/>
  <c r="Q54" i="31"/>
  <c r="O55" i="31"/>
  <c r="D55" i="31" l="1"/>
  <c r="I54" i="31"/>
  <c r="C59" i="31"/>
  <c r="Q55" i="31"/>
  <c r="O56" i="31"/>
  <c r="Q56" i="31" l="1"/>
  <c r="O57" i="31"/>
  <c r="C60" i="31"/>
  <c r="I55" i="31"/>
  <c r="D56" i="31"/>
  <c r="C61" i="31" l="1"/>
  <c r="I56" i="31"/>
  <c r="D57" i="31"/>
  <c r="Q57" i="31"/>
  <c r="O58" i="31"/>
  <c r="Q58" i="31" s="1"/>
  <c r="R58" i="31" l="1"/>
  <c r="D58" i="31"/>
  <c r="I57" i="31"/>
  <c r="C62" i="31"/>
  <c r="C63" i="31" l="1"/>
  <c r="I58" i="31"/>
  <c r="J58" i="31" s="1"/>
  <c r="D59" i="31"/>
  <c r="C64" i="31" l="1"/>
  <c r="I59" i="31"/>
  <c r="D60" i="31"/>
  <c r="C65" i="31" l="1"/>
  <c r="D61" i="31"/>
  <c r="I60" i="31"/>
  <c r="C66" i="31" l="1"/>
  <c r="D62" i="31"/>
  <c r="I61" i="31"/>
  <c r="C67" i="31" l="1"/>
  <c r="I62" i="31"/>
  <c r="D63" i="31"/>
  <c r="C68" i="31" l="1"/>
  <c r="I63" i="31"/>
  <c r="D64" i="31"/>
  <c r="D65" i="31" l="1"/>
  <c r="I64" i="31"/>
  <c r="C69" i="31"/>
  <c r="I65" i="31" l="1"/>
  <c r="D66" i="31"/>
  <c r="C70" i="31"/>
  <c r="C71" i="31" l="1"/>
  <c r="D67" i="31"/>
  <c r="I66" i="31"/>
  <c r="C72" i="31" l="1"/>
  <c r="D68" i="31"/>
  <c r="I67" i="31"/>
  <c r="I68" i="31" l="1"/>
  <c r="D69" i="31"/>
  <c r="C73" i="31"/>
  <c r="C74" i="31" l="1"/>
  <c r="I69" i="31"/>
  <c r="D70" i="31"/>
  <c r="C75" i="31" l="1"/>
  <c r="D71" i="31"/>
  <c r="I70" i="31"/>
  <c r="J70" i="31" s="1"/>
  <c r="D72" i="31" l="1"/>
  <c r="I71" i="31"/>
  <c r="C76" i="31"/>
  <c r="I72" i="31" l="1"/>
  <c r="D73" i="31"/>
  <c r="C77" i="31"/>
  <c r="D74" i="31" l="1"/>
  <c r="I73" i="31"/>
  <c r="C78" i="31"/>
  <c r="D75" i="31" l="1"/>
  <c r="I74" i="31"/>
  <c r="C79" i="31"/>
  <c r="I75" i="31" l="1"/>
  <c r="D76" i="31"/>
  <c r="C80" i="31"/>
  <c r="I76" i="31" l="1"/>
  <c r="D77" i="31"/>
  <c r="C81" i="31"/>
  <c r="I77" i="31" l="1"/>
  <c r="D78" i="31"/>
  <c r="C82" i="31"/>
  <c r="I78" i="31" l="1"/>
  <c r="D79" i="31"/>
  <c r="C83" i="31"/>
  <c r="D80" i="31" l="1"/>
  <c r="I79" i="31"/>
  <c r="C84" i="31"/>
  <c r="D81" i="31" l="1"/>
  <c r="I80" i="31"/>
  <c r="C85" i="31"/>
  <c r="I81" i="31" l="1"/>
  <c r="D82" i="31"/>
  <c r="C86" i="31"/>
  <c r="C87" i="31" l="1"/>
  <c r="I82" i="31"/>
  <c r="J82" i="31" s="1"/>
  <c r="D83" i="31"/>
  <c r="I83" i="31" l="1"/>
  <c r="D84" i="31"/>
  <c r="C88" i="31"/>
  <c r="C89" i="31" l="1"/>
  <c r="D85" i="31"/>
  <c r="I84" i="31"/>
  <c r="I85" i="31" l="1"/>
  <c r="D86" i="31"/>
  <c r="C90" i="31"/>
  <c r="C91" i="31" l="1"/>
  <c r="D87" i="31"/>
  <c r="I86" i="31"/>
  <c r="C92" i="31" l="1"/>
  <c r="D88" i="31"/>
  <c r="I87" i="31"/>
  <c r="C93" i="31" l="1"/>
  <c r="I88" i="31"/>
  <c r="D89" i="31"/>
  <c r="I89" i="31" l="1"/>
  <c r="D90" i="31"/>
  <c r="C94" i="31"/>
  <c r="C95" i="31" l="1"/>
  <c r="I90" i="31"/>
  <c r="D91" i="31"/>
  <c r="I91" i="31" l="1"/>
  <c r="D92" i="31"/>
  <c r="C96" i="31"/>
  <c r="C97" i="31" l="1"/>
  <c r="D93" i="31"/>
  <c r="I92" i="31"/>
  <c r="D94" i="31" l="1"/>
  <c r="I93" i="31"/>
  <c r="C98" i="31"/>
  <c r="I94" i="31" l="1"/>
  <c r="J94" i="31" s="1"/>
  <c r="D95" i="31"/>
  <c r="C99" i="31"/>
  <c r="C100" i="31" l="1"/>
  <c r="I95" i="31"/>
  <c r="D96" i="31"/>
  <c r="I96" i="31" l="1"/>
  <c r="D97" i="31"/>
  <c r="C101" i="31"/>
  <c r="C102" i="31" l="1"/>
  <c r="D98" i="31"/>
  <c r="I97" i="31"/>
  <c r="I98" i="31" l="1"/>
  <c r="D99" i="31"/>
  <c r="C103" i="31"/>
  <c r="D100" i="31" l="1"/>
  <c r="I99" i="31"/>
  <c r="C104" i="31"/>
  <c r="D101" i="31" l="1"/>
  <c r="I100" i="31"/>
  <c r="C105" i="31"/>
  <c r="I101" i="31" l="1"/>
  <c r="D102" i="31"/>
  <c r="C106" i="31"/>
  <c r="I102" i="31" l="1"/>
  <c r="D103" i="31"/>
  <c r="C107" i="31"/>
  <c r="I103" i="31" l="1"/>
  <c r="D104" i="31"/>
  <c r="C108" i="31"/>
  <c r="C109" i="31" l="1"/>
  <c r="I104" i="31"/>
  <c r="D105" i="31"/>
  <c r="C110" i="31" l="1"/>
  <c r="D106" i="31"/>
  <c r="I105" i="31"/>
  <c r="C111" i="31" l="1"/>
  <c r="D107" i="31"/>
  <c r="I106" i="31"/>
  <c r="J106" i="31" s="1"/>
  <c r="C112" i="31" l="1"/>
  <c r="D108" i="31"/>
  <c r="I107" i="31"/>
  <c r="C113" i="31" l="1"/>
  <c r="I108" i="31"/>
  <c r="D109" i="31"/>
  <c r="C114" i="31" l="1"/>
  <c r="I109" i="31"/>
  <c r="D110" i="31"/>
  <c r="C115" i="31" l="1"/>
  <c r="I110" i="31"/>
  <c r="D111" i="31"/>
  <c r="C116" i="31" l="1"/>
  <c r="I111" i="31"/>
  <c r="D112" i="31"/>
  <c r="C117" i="31" l="1"/>
  <c r="D113" i="31"/>
  <c r="I112" i="31"/>
  <c r="D114" i="31" l="1"/>
  <c r="I113" i="31"/>
  <c r="C118" i="31"/>
  <c r="C119" i="31" l="1"/>
  <c r="I114" i="31"/>
  <c r="D115" i="31"/>
  <c r="C120" i="31" l="1"/>
  <c r="I115" i="31"/>
  <c r="D116" i="31"/>
  <c r="C121" i="31" l="1"/>
  <c r="I116" i="31"/>
  <c r="D117" i="31"/>
  <c r="I117" i="31" l="1"/>
  <c r="D118" i="31"/>
  <c r="C122" i="31"/>
  <c r="C123" i="31" l="1"/>
  <c r="I118" i="31"/>
  <c r="J118" i="31" s="1"/>
  <c r="D119" i="31"/>
  <c r="C124" i="31" l="1"/>
  <c r="D120" i="31"/>
  <c r="I119" i="31"/>
  <c r="D121" i="31" l="1"/>
  <c r="I120" i="31"/>
  <c r="C125" i="31"/>
  <c r="C126" i="31" l="1"/>
  <c r="I121" i="31"/>
  <c r="D122" i="31"/>
  <c r="C127" i="31" l="1"/>
  <c r="I122" i="31"/>
  <c r="D123" i="31"/>
  <c r="I123" i="31" l="1"/>
  <c r="D124" i="31"/>
  <c r="C128" i="31"/>
  <c r="I124" i="31" l="1"/>
  <c r="D125" i="31"/>
  <c r="C129" i="31"/>
  <c r="C130" i="31" l="1"/>
  <c r="D126" i="31"/>
  <c r="I125" i="31"/>
  <c r="D127" i="31" l="1"/>
  <c r="I126" i="31"/>
  <c r="C131" i="31"/>
  <c r="I127" i="31" l="1"/>
  <c r="D128" i="31"/>
  <c r="C132" i="31"/>
  <c r="C133" i="31" l="1"/>
  <c r="I128" i="31"/>
  <c r="D129" i="31"/>
  <c r="C134" i="31" l="1"/>
  <c r="D130" i="31"/>
  <c r="I129" i="31"/>
  <c r="I130" i="31" l="1"/>
  <c r="J130" i="31" s="1"/>
  <c r="D131" i="31"/>
  <c r="C135" i="31"/>
  <c r="I131" i="31" l="1"/>
  <c r="D132" i="31"/>
  <c r="C136" i="31"/>
  <c r="C137" i="31" l="1"/>
  <c r="D133" i="31"/>
  <c r="I132" i="31"/>
  <c r="C138" i="31" l="1"/>
  <c r="D134" i="31"/>
  <c r="I133" i="31"/>
  <c r="C139" i="31" l="1"/>
  <c r="I134" i="31"/>
  <c r="D135" i="31"/>
  <c r="I135" i="31" l="1"/>
  <c r="D136" i="31"/>
  <c r="C140" i="31"/>
  <c r="D137" i="31" l="1"/>
  <c r="I136" i="31"/>
  <c r="C141" i="31"/>
  <c r="C142" i="31" l="1"/>
  <c r="I137" i="31"/>
  <c r="D138" i="31"/>
  <c r="D139" i="31" l="1"/>
  <c r="I138" i="31"/>
  <c r="C143" i="31"/>
  <c r="D140" i="31" l="1"/>
  <c r="I139" i="31"/>
  <c r="C144" i="31"/>
  <c r="C145" i="31" l="1"/>
  <c r="I140" i="31"/>
  <c r="D141" i="31"/>
  <c r="I141" i="31" l="1"/>
  <c r="D142" i="31"/>
  <c r="C146" i="31"/>
  <c r="D143" i="31" l="1"/>
  <c r="I142" i="31"/>
  <c r="J142" i="31" s="1"/>
  <c r="C147" i="31"/>
  <c r="I143" i="31" l="1"/>
  <c r="D144" i="31"/>
  <c r="C148" i="31"/>
  <c r="C149" i="31" l="1"/>
  <c r="I144" i="31"/>
  <c r="D145" i="31"/>
  <c r="C150" i="31" l="1"/>
  <c r="D146" i="31"/>
  <c r="I145" i="31"/>
  <c r="C151" i="31" l="1"/>
  <c r="D147" i="31"/>
  <c r="I146" i="31"/>
  <c r="C152" i="31" l="1"/>
  <c r="I147" i="31"/>
  <c r="D148" i="31"/>
  <c r="C153" i="31" l="1"/>
  <c r="I148" i="31"/>
  <c r="D149" i="31"/>
  <c r="D150" i="31" l="1"/>
  <c r="I149" i="31"/>
  <c r="C154" i="31"/>
  <c r="I150" i="31" l="1"/>
  <c r="D151" i="31"/>
  <c r="D152" i="31" l="1"/>
  <c r="I151" i="31"/>
  <c r="D153" i="31" l="1"/>
  <c r="I152" i="31"/>
  <c r="I153" i="31" l="1"/>
  <c r="D154" i="31"/>
  <c r="I154" i="31" s="1"/>
  <c r="J154" i="31" l="1"/>
  <c r="I50" i="2"/>
  <c r="J50" i="2"/>
  <c r="K50" i="2"/>
  <c r="L50" i="2"/>
  <c r="M50" i="2"/>
  <c r="N50" i="2"/>
  <c r="O50" i="2"/>
  <c r="P50" i="2"/>
  <c r="Q50" i="2"/>
  <c r="R50" i="2"/>
  <c r="F8" i="33"/>
  <c r="F9" i="33"/>
  <c r="V11" i="33"/>
  <c r="W11" i="33" s="1"/>
  <c r="V12" i="33"/>
  <c r="W12" i="33" s="1"/>
  <c r="X12" i="33" s="1"/>
  <c r="H15" i="33"/>
  <c r="M15" i="33"/>
  <c r="S15" i="33"/>
  <c r="H16" i="33"/>
  <c r="M16" i="33"/>
  <c r="S16" i="33"/>
  <c r="H20" i="33"/>
  <c r="M20" i="33"/>
  <c r="S20" i="33"/>
  <c r="H21" i="33"/>
  <c r="M21" i="33"/>
  <c r="S21" i="33"/>
  <c r="H22" i="33"/>
  <c r="M22" i="33"/>
  <c r="S22" i="33"/>
  <c r="D26" i="33"/>
  <c r="H26" i="33" s="1"/>
  <c r="M26" i="33"/>
  <c r="S26" i="33"/>
  <c r="H27" i="33"/>
  <c r="M27" i="33"/>
  <c r="S27" i="33"/>
  <c r="H28" i="33"/>
  <c r="M28" i="33"/>
  <c r="S28" i="33"/>
  <c r="H32" i="33"/>
  <c r="M32" i="33"/>
  <c r="S32" i="33"/>
  <c r="H33" i="33"/>
  <c r="M33" i="33"/>
  <c r="S33" i="33"/>
  <c r="H34" i="33"/>
  <c r="M34" i="33"/>
  <c r="S34" i="33"/>
  <c r="H35" i="33"/>
  <c r="M35" i="33"/>
  <c r="S35" i="33"/>
  <c r="H36" i="33"/>
  <c r="M36" i="33"/>
  <c r="S36" i="33"/>
  <c r="H40" i="33"/>
  <c r="M40" i="33"/>
  <c r="S40" i="33"/>
  <c r="H41" i="33"/>
  <c r="M41" i="33"/>
  <c r="S41" i="33"/>
  <c r="H42" i="33"/>
  <c r="M42" i="33"/>
  <c r="S42" i="33"/>
  <c r="H43" i="33"/>
  <c r="M43" i="33"/>
  <c r="S43" i="33"/>
  <c r="H47" i="33"/>
  <c r="M47" i="33"/>
  <c r="S47" i="33"/>
  <c r="H48" i="33"/>
  <c r="M48" i="33"/>
  <c r="S48" i="33"/>
  <c r="H49" i="33"/>
  <c r="M49" i="33"/>
  <c r="S49" i="33"/>
  <c r="H24" i="32"/>
  <c r="F8" i="16"/>
  <c r="F9" i="16"/>
  <c r="F10" i="16"/>
  <c r="F11" i="16"/>
  <c r="F12" i="16"/>
  <c r="F13" i="16"/>
  <c r="F14" i="16"/>
  <c r="F15" i="16"/>
  <c r="F16" i="16"/>
  <c r="F17" i="16"/>
  <c r="F18" i="16"/>
  <c r="F19" i="16"/>
  <c r="H7" i="16"/>
  <c r="F7" i="16"/>
  <c r="G104" i="2"/>
  <c r="J24" i="32" l="1"/>
  <c r="D58" i="32"/>
  <c r="E58" i="32"/>
  <c r="O9" i="32"/>
  <c r="O62" i="32" s="1"/>
  <c r="H58" i="32"/>
  <c r="D9" i="32"/>
  <c r="D64" i="32" s="1"/>
  <c r="Q54" i="32"/>
  <c r="E9" i="32"/>
  <c r="E62" i="32" s="1"/>
  <c r="K54" i="32"/>
  <c r="J9" i="32"/>
  <c r="J60" i="32" s="1"/>
  <c r="O54" i="32"/>
  <c r="L9" i="32"/>
  <c r="L61" i="32" s="1"/>
  <c r="J54" i="32"/>
  <c r="N54" i="32"/>
  <c r="E54" i="32"/>
  <c r="O58" i="32"/>
  <c r="G58" i="32"/>
  <c r="F58" i="32"/>
  <c r="J58" i="32"/>
  <c r="F54" i="32"/>
  <c r="F9" i="32"/>
  <c r="M58" i="32"/>
  <c r="H54" i="32"/>
  <c r="I24" i="32"/>
  <c r="M9" i="32"/>
  <c r="M14" i="32" s="1"/>
  <c r="L58" i="32"/>
  <c r="G54" i="32"/>
  <c r="I9" i="32"/>
  <c r="K58" i="32"/>
  <c r="O45" i="32"/>
  <c r="Q13" i="32"/>
  <c r="G13" i="2" s="1"/>
  <c r="I58" i="32"/>
  <c r="H9" i="32"/>
  <c r="H64" i="32" s="1"/>
  <c r="Q43" i="32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Q42" i="32"/>
  <c r="G32" i="2" s="1"/>
  <c r="Q39" i="32"/>
  <c r="G29" i="2" s="1"/>
  <c r="Q37" i="32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Q36" i="32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E45" i="32"/>
  <c r="Q30" i="32"/>
  <c r="G20" i="2" s="1"/>
  <c r="F24" i="32"/>
  <c r="Q20" i="32"/>
  <c r="Q44" i="32"/>
  <c r="G34" i="2" s="1"/>
  <c r="H34" i="2" s="1"/>
  <c r="D45" i="32"/>
  <c r="Q22" i="32"/>
  <c r="Q21" i="32"/>
  <c r="Q18" i="32"/>
  <c r="E24" i="32"/>
  <c r="D24" i="32"/>
  <c r="N45" i="32"/>
  <c r="O24" i="32"/>
  <c r="M54" i="32"/>
  <c r="M45" i="32"/>
  <c r="N24" i="32"/>
  <c r="K45" i="32"/>
  <c r="L54" i="32"/>
  <c r="L45" i="32"/>
  <c r="M24" i="32"/>
  <c r="Q12" i="32"/>
  <c r="G12" i="2" s="1"/>
  <c r="Q10" i="32"/>
  <c r="G10" i="2" s="1"/>
  <c r="Q38" i="32"/>
  <c r="G28" i="2" s="1"/>
  <c r="K24" i="32"/>
  <c r="I54" i="32"/>
  <c r="I45" i="32"/>
  <c r="L24" i="32"/>
  <c r="K9" i="32"/>
  <c r="K60" i="32" s="1"/>
  <c r="H45" i="32"/>
  <c r="Q33" i="32"/>
  <c r="G23" i="2" s="1"/>
  <c r="Q34" i="32"/>
  <c r="G24" i="2" s="1"/>
  <c r="G45" i="32"/>
  <c r="Q19" i="32"/>
  <c r="Q8" i="32"/>
  <c r="G8" i="2" s="1"/>
  <c r="Q41" i="32"/>
  <c r="G31" i="2" s="1"/>
  <c r="Q35" i="32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F45" i="32"/>
  <c r="Q29" i="32"/>
  <c r="G19" i="2" s="1"/>
  <c r="G24" i="32"/>
  <c r="Y12" i="33"/>
  <c r="Z12" i="33" s="1"/>
  <c r="AA12" i="33" s="1"/>
  <c r="AB12" i="33" s="1"/>
  <c r="AC12" i="33" s="1"/>
  <c r="AD12" i="33" s="1"/>
  <c r="AE12" i="33" s="1"/>
  <c r="X11" i="33"/>
  <c r="D5" i="32"/>
  <c r="E4" i="32"/>
  <c r="Q31" i="32"/>
  <c r="G21" i="2" s="1"/>
  <c r="Q16" i="32"/>
  <c r="Q17" i="32"/>
  <c r="Q40" i="32"/>
  <c r="G30" i="2" s="1"/>
  <c r="J45" i="32"/>
  <c r="G9" i="32"/>
  <c r="Q23" i="32"/>
  <c r="Q11" i="32"/>
  <c r="G11" i="2" s="1"/>
  <c r="Q32" i="32"/>
  <c r="G22" i="2" s="1"/>
  <c r="N9" i="32"/>
  <c r="Q7" i="32"/>
  <c r="G7" i="2" s="1"/>
  <c r="N58" i="32"/>
  <c r="F20" i="16"/>
  <c r="D60" i="32" l="1"/>
  <c r="O61" i="32"/>
  <c r="O14" i="32"/>
  <c r="O26" i="32" s="1"/>
  <c r="O48" i="32" s="1"/>
  <c r="O60" i="32"/>
  <c r="O64" i="32"/>
  <c r="D61" i="32"/>
  <c r="D14" i="32"/>
  <c r="D26" i="32" s="1"/>
  <c r="D48" i="32" s="1"/>
  <c r="Q55" i="32"/>
  <c r="D62" i="32"/>
  <c r="M64" i="32"/>
  <c r="L60" i="32"/>
  <c r="M62" i="32"/>
  <c r="M61" i="32"/>
  <c r="L62" i="32"/>
  <c r="E64" i="32"/>
  <c r="L14" i="32"/>
  <c r="L26" i="32" s="1"/>
  <c r="L48" i="32" s="1"/>
  <c r="E14" i="32"/>
  <c r="E26" i="32" s="1"/>
  <c r="E48" i="32" s="1"/>
  <c r="E61" i="32"/>
  <c r="H62" i="32"/>
  <c r="J62" i="32"/>
  <c r="J55" i="32"/>
  <c r="K55" i="32"/>
  <c r="J64" i="32"/>
  <c r="J61" i="32"/>
  <c r="M60" i="32"/>
  <c r="J14" i="32"/>
  <c r="J26" i="32" s="1"/>
  <c r="J48" i="32" s="1"/>
  <c r="H60" i="32"/>
  <c r="E60" i="32"/>
  <c r="H14" i="32"/>
  <c r="H26" i="32" s="1"/>
  <c r="H48" i="32" s="1"/>
  <c r="H61" i="32"/>
  <c r="E55" i="32"/>
  <c r="Q58" i="32"/>
  <c r="M26" i="32"/>
  <c r="M48" i="32" s="1"/>
  <c r="L64" i="32"/>
  <c r="F14" i="32"/>
  <c r="F26" i="32" s="1"/>
  <c r="F48" i="32" s="1"/>
  <c r="F64" i="32"/>
  <c r="F55" i="32"/>
  <c r="L55" i="32"/>
  <c r="Q45" i="32"/>
  <c r="F62" i="32"/>
  <c r="K61" i="32"/>
  <c r="K14" i="32"/>
  <c r="K26" i="32" s="1"/>
  <c r="K48" i="32" s="1"/>
  <c r="I62" i="32"/>
  <c r="K64" i="32"/>
  <c r="I61" i="32"/>
  <c r="I64" i="32"/>
  <c r="I60" i="32"/>
  <c r="F61" i="32"/>
  <c r="K62" i="32"/>
  <c r="I55" i="32"/>
  <c r="F60" i="32"/>
  <c r="M55" i="32"/>
  <c r="Q24" i="32"/>
  <c r="E24" i="16" s="1"/>
  <c r="D24" i="16" s="1"/>
  <c r="Q9" i="32"/>
  <c r="Q64" i="32" s="1"/>
  <c r="I14" i="32"/>
  <c r="I26" i="32" s="1"/>
  <c r="I48" i="32" s="1"/>
  <c r="Y11" i="33"/>
  <c r="N26" i="33"/>
  <c r="N41" i="33"/>
  <c r="N33" i="33"/>
  <c r="N28" i="33"/>
  <c r="N42" i="33"/>
  <c r="N48" i="33"/>
  <c r="N43" i="33"/>
  <c r="N40" i="33"/>
  <c r="N49" i="33"/>
  <c r="N27" i="33"/>
  <c r="G14" i="32"/>
  <c r="G55" i="32"/>
  <c r="H55" i="32"/>
  <c r="G60" i="32"/>
  <c r="G61" i="32"/>
  <c r="G62" i="32"/>
  <c r="G64" i="32"/>
  <c r="E5" i="32"/>
  <c r="F4" i="32"/>
  <c r="N60" i="32"/>
  <c r="N61" i="32"/>
  <c r="N62" i="32"/>
  <c r="N64" i="32"/>
  <c r="N55" i="32"/>
  <c r="N14" i="32"/>
  <c r="N26" i="32" s="1"/>
  <c r="N48" i="32" s="1"/>
  <c r="O55" i="32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H4" i="2"/>
  <c r="G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20" i="16" l="1"/>
  <c r="D63" i="32"/>
  <c r="D65" i="32" s="1"/>
  <c r="W44" i="33"/>
  <c r="V44" i="33"/>
  <c r="O63" i="32"/>
  <c r="O65" i="32" s="1"/>
  <c r="M63" i="32"/>
  <c r="M65" i="32" s="1"/>
  <c r="L63" i="32"/>
  <c r="L65" i="32" s="1"/>
  <c r="H63" i="32"/>
  <c r="H65" i="32" s="1"/>
  <c r="J63" i="32"/>
  <c r="J65" i="32" s="1"/>
  <c r="E63" i="32"/>
  <c r="E65" i="32" s="1"/>
  <c r="K63" i="32"/>
  <c r="K65" i="32" s="1"/>
  <c r="I63" i="32"/>
  <c r="I65" i="32" s="1"/>
  <c r="Q62" i="32"/>
  <c r="Q60" i="32"/>
  <c r="Q61" i="32"/>
  <c r="G63" i="32"/>
  <c r="G65" i="32" s="1"/>
  <c r="N63" i="32"/>
  <c r="N65" i="32" s="1"/>
  <c r="F63" i="32"/>
  <c r="F65" i="32" s="1"/>
  <c r="Z11" i="33"/>
  <c r="N15" i="33"/>
  <c r="N35" i="33"/>
  <c r="N34" i="33"/>
  <c r="X44" i="33"/>
  <c r="N36" i="33"/>
  <c r="N47" i="33"/>
  <c r="U44" i="33"/>
  <c r="N32" i="33"/>
  <c r="G26" i="32"/>
  <c r="Q14" i="32"/>
  <c r="F5" i="32"/>
  <c r="G4" i="32"/>
  <c r="I20" i="16"/>
  <c r="Q63" i="32" l="1"/>
  <c r="Q65" i="32" s="1"/>
  <c r="V50" i="33"/>
  <c r="W50" i="33"/>
  <c r="X50" i="33"/>
  <c r="U50" i="33"/>
  <c r="Y50" i="33"/>
  <c r="Y44" i="33"/>
  <c r="Z50" i="33"/>
  <c r="AA11" i="33"/>
  <c r="G5" i="32"/>
  <c r="H4" i="32"/>
  <c r="G48" i="32"/>
  <c r="Q26" i="32"/>
  <c r="Q48" i="32" s="1"/>
  <c r="S13" i="2"/>
  <c r="V37" i="33" l="1"/>
  <c r="W37" i="33"/>
  <c r="Z37" i="33"/>
  <c r="U37" i="33"/>
  <c r="Y37" i="33"/>
  <c r="AA50" i="33"/>
  <c r="AB11" i="33"/>
  <c r="N20" i="33"/>
  <c r="Z44" i="33"/>
  <c r="X37" i="33"/>
  <c r="H5" i="32"/>
  <c r="I4" i="32"/>
  <c r="J40" i="2"/>
  <c r="H40" i="2"/>
  <c r="N40" i="2"/>
  <c r="AB50" i="33" l="1"/>
  <c r="AC11" i="33"/>
  <c r="AA37" i="33"/>
  <c r="AA44" i="33"/>
  <c r="I5" i="32"/>
  <c r="J4" i="32"/>
  <c r="L40" i="2"/>
  <c r="P40" i="2"/>
  <c r="M40" i="2"/>
  <c r="K40" i="2"/>
  <c r="O40" i="2"/>
  <c r="I40" i="2"/>
  <c r="Q40" i="2"/>
  <c r="R40" i="2"/>
  <c r="AB37" i="33" l="1"/>
  <c r="AC50" i="33"/>
  <c r="AD11" i="33"/>
  <c r="AB44" i="33"/>
  <c r="J5" i="32"/>
  <c r="K4" i="32"/>
  <c r="AC44" i="33" l="1"/>
  <c r="AE11" i="33"/>
  <c r="AD50" i="33"/>
  <c r="N22" i="33"/>
  <c r="N21" i="33"/>
  <c r="N16" i="33"/>
  <c r="AC37" i="33"/>
  <c r="K5" i="32"/>
  <c r="L4" i="32"/>
  <c r="AD44" i="33" l="1"/>
  <c r="Y17" i="33"/>
  <c r="Z17" i="33"/>
  <c r="AA17" i="33"/>
  <c r="AD37" i="33"/>
  <c r="AE50" i="33"/>
  <c r="Q21" i="33"/>
  <c r="Q35" i="33"/>
  <c r="Q41" i="33"/>
  <c r="Q32" i="33"/>
  <c r="Q33" i="33"/>
  <c r="Q22" i="33"/>
  <c r="Q27" i="33"/>
  <c r="Q40" i="33"/>
  <c r="Q15" i="33"/>
  <c r="Q43" i="33"/>
  <c r="Q47" i="33"/>
  <c r="Q36" i="33"/>
  <c r="Q28" i="33"/>
  <c r="Q26" i="33"/>
  <c r="Q20" i="33"/>
  <c r="Q48" i="33"/>
  <c r="Q16" i="33"/>
  <c r="Q49" i="33"/>
  <c r="Q42" i="33"/>
  <c r="Q34" i="33"/>
  <c r="AD17" i="33"/>
  <c r="V17" i="33"/>
  <c r="U17" i="33"/>
  <c r="L5" i="32"/>
  <c r="M4" i="32"/>
  <c r="AE17" i="33" l="1"/>
  <c r="AD23" i="33"/>
  <c r="Q39" i="2" s="1"/>
  <c r="W23" i="33"/>
  <c r="X17" i="33"/>
  <c r="W17" i="33"/>
  <c r="AC23" i="33"/>
  <c r="AE37" i="33"/>
  <c r="AB23" i="33"/>
  <c r="AA23" i="33"/>
  <c r="N39" i="2" s="1"/>
  <c r="Z23" i="33"/>
  <c r="M39" i="2" s="1"/>
  <c r="AC17" i="33"/>
  <c r="P39" i="2" s="1"/>
  <c r="AE44" i="33"/>
  <c r="Y23" i="33"/>
  <c r="L39" i="2" s="1"/>
  <c r="AB17" i="33"/>
  <c r="U23" i="33"/>
  <c r="X23" i="33"/>
  <c r="AE23" i="33"/>
  <c r="V23" i="33"/>
  <c r="I39" i="2" s="1"/>
  <c r="M5" i="32"/>
  <c r="N4" i="32"/>
  <c r="R39" i="2" l="1"/>
  <c r="J39" i="2"/>
  <c r="O39" i="2"/>
  <c r="K39" i="2"/>
  <c r="O4" i="32"/>
  <c r="O5" i="32" s="1"/>
  <c r="N5" i="32"/>
  <c r="E133" i="2" l="1"/>
  <c r="E138" i="2" s="1"/>
  <c r="E93" i="2" l="1"/>
  <c r="A2" i="16" l="1"/>
  <c r="B10" i="27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D6" i="27"/>
  <c r="A2" i="27"/>
  <c r="A2" i="2"/>
  <c r="D6" i="26"/>
  <c r="A2" i="26"/>
  <c r="B10" i="26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H120" i="2" l="1"/>
  <c r="K21" i="8" l="1"/>
  <c r="Q91" i="2"/>
  <c r="N10" i="13" l="1"/>
  <c r="N9" i="13"/>
  <c r="N6" i="13"/>
  <c r="F9" i="13"/>
  <c r="F8" i="13" a="1"/>
  <c r="F8" i="13" s="1"/>
  <c r="F6" i="13"/>
  <c r="F5" i="13"/>
  <c r="F7" i="13" l="1"/>
  <c r="N5" i="13" s="1" a="1"/>
  <c r="N5" i="13" s="1"/>
  <c r="N7" i="13" s="1"/>
  <c r="F11" i="13"/>
  <c r="F12" i="13" s="1"/>
  <c r="C20" i="16" l="1"/>
  <c r="H41" i="2" l="1"/>
  <c r="E20" i="16"/>
  <c r="C24" i="16"/>
  <c r="C40" i="16" s="1"/>
  <c r="D39" i="16"/>
  <c r="E39" i="16" s="1"/>
  <c r="D32" i="16"/>
  <c r="E32" i="16" s="1"/>
  <c r="D33" i="16"/>
  <c r="E33" i="16" s="1"/>
  <c r="D28" i="16"/>
  <c r="E28" i="16" s="1"/>
  <c r="D26" i="16"/>
  <c r="E26" i="16" s="1"/>
  <c r="D31" i="16"/>
  <c r="E31" i="16" s="1"/>
  <c r="D30" i="16"/>
  <c r="E30" i="16" s="1"/>
  <c r="D29" i="16"/>
  <c r="E29" i="16" s="1"/>
  <c r="D27" i="16"/>
  <c r="E27" i="16" s="1"/>
  <c r="D34" i="16"/>
  <c r="E34" i="16" s="1"/>
  <c r="D35" i="16"/>
  <c r="E35" i="16" s="1"/>
  <c r="D38" i="16"/>
  <c r="E38" i="16" s="1"/>
  <c r="D37" i="16"/>
  <c r="E37" i="16" s="1"/>
  <c r="D36" i="16"/>
  <c r="E36" i="16" s="1"/>
  <c r="H119" i="2"/>
  <c r="I41" i="2" l="1"/>
  <c r="J41" i="2" s="1"/>
  <c r="K41" i="2" s="1"/>
  <c r="L41" i="2" s="1"/>
  <c r="M41" i="2" s="1"/>
  <c r="N41" i="2" s="1"/>
  <c r="O41" i="2" s="1"/>
  <c r="P41" i="2" s="1"/>
  <c r="Q41" i="2" s="1"/>
  <c r="R41" i="2" s="1"/>
  <c r="D25" i="16"/>
  <c r="D40" i="16" s="1"/>
  <c r="E62" i="2"/>
  <c r="I119" i="2"/>
  <c r="J119" i="2" s="1"/>
  <c r="K119" i="2" s="1"/>
  <c r="L119" i="2" s="1"/>
  <c r="M119" i="2" s="1"/>
  <c r="N119" i="2" s="1"/>
  <c r="E25" i="16" l="1"/>
  <c r="E40" i="16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O119" i="2"/>
  <c r="P119" i="2" s="1"/>
  <c r="Q119" i="2" s="1"/>
  <c r="I120" i="2" l="1"/>
  <c r="J120" i="2" s="1"/>
  <c r="K120" i="2" s="1"/>
  <c r="L120" i="2" s="1"/>
  <c r="M120" i="2" s="1"/>
  <c r="N120" i="2" s="1"/>
  <c r="O120" i="2" s="1"/>
  <c r="P120" i="2" s="1"/>
  <c r="Q120" i="2" s="1"/>
  <c r="M121" i="2" l="1"/>
  <c r="H121" i="2"/>
  <c r="N121" i="2"/>
  <c r="L121" i="2"/>
  <c r="O121" i="2"/>
  <c r="P121" i="2"/>
  <c r="I121" i="2"/>
  <c r="Q121" i="2"/>
  <c r="J121" i="2"/>
  <c r="K121" i="2"/>
  <c r="I4" i="2" l="1"/>
  <c r="K12" i="8"/>
  <c r="F60" i="8"/>
  <c r="J4" i="2" l="1"/>
  <c r="K4" i="2" l="1"/>
  <c r="L4" i="2" l="1"/>
  <c r="G65" i="2" l="1"/>
  <c r="H69" i="2" s="1"/>
  <c r="I70" i="2"/>
  <c r="H70" i="2"/>
  <c r="M4" i="2"/>
  <c r="I68" i="2" l="1"/>
  <c r="I69" i="2" s="1"/>
  <c r="H62" i="2"/>
  <c r="I62" i="2"/>
  <c r="I67" i="2"/>
  <c r="H67" i="2"/>
  <c r="H68" i="2"/>
  <c r="N4" i="2"/>
  <c r="O4" i="2" l="1"/>
  <c r="P4" i="2" l="1"/>
  <c r="B7" i="8"/>
  <c r="Q4" i="2" l="1"/>
  <c r="R4" i="2" l="1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D15" i="13"/>
  <c r="D135" i="13"/>
  <c r="D136" i="13"/>
  <c r="D137" i="13"/>
  <c r="E137" i="13" s="1"/>
  <c r="D138" i="13"/>
  <c r="D139" i="13"/>
  <c r="D140" i="13"/>
  <c r="D141" i="13"/>
  <c r="E141" i="13" s="1"/>
  <c r="D142" i="13"/>
  <c r="D143" i="13"/>
  <c r="D144" i="13"/>
  <c r="D145" i="13"/>
  <c r="E145" i="13" s="1"/>
  <c r="D146" i="13"/>
  <c r="D147" i="13"/>
  <c r="D148" i="13"/>
  <c r="D149" i="13"/>
  <c r="E149" i="13" s="1"/>
  <c r="D150" i="13"/>
  <c r="D151" i="13"/>
  <c r="D152" i="13"/>
  <c r="D153" i="13"/>
  <c r="E153" i="13" s="1"/>
  <c r="D154" i="13"/>
  <c r="D155" i="13"/>
  <c r="D156" i="13"/>
  <c r="D157" i="13"/>
  <c r="E157" i="13" s="1"/>
  <c r="D158" i="13"/>
  <c r="D159" i="13"/>
  <c r="D160" i="13"/>
  <c r="D161" i="13"/>
  <c r="E161" i="13" s="1"/>
  <c r="D162" i="13"/>
  <c r="D163" i="13"/>
  <c r="D164" i="13"/>
  <c r="D165" i="13"/>
  <c r="E165" i="13" s="1"/>
  <c r="D166" i="13"/>
  <c r="D167" i="13"/>
  <c r="D168" i="13"/>
  <c r="D169" i="13"/>
  <c r="E169" i="13" s="1"/>
  <c r="D170" i="13"/>
  <c r="D171" i="13"/>
  <c r="D172" i="13"/>
  <c r="D173" i="13"/>
  <c r="E173" i="13" s="1"/>
  <c r="D174" i="13"/>
  <c r="D175" i="13"/>
  <c r="D176" i="13"/>
  <c r="D177" i="13"/>
  <c r="E177" i="13" s="1"/>
  <c r="D178" i="13"/>
  <c r="D179" i="13"/>
  <c r="D180" i="13"/>
  <c r="D181" i="13"/>
  <c r="E181" i="13" s="1"/>
  <c r="D182" i="13"/>
  <c r="D183" i="13"/>
  <c r="D184" i="13"/>
  <c r="D185" i="13"/>
  <c r="E185" i="13" s="1"/>
  <c r="D186" i="13"/>
  <c r="D187" i="13"/>
  <c r="D188" i="13"/>
  <c r="D189" i="13"/>
  <c r="E189" i="13" s="1"/>
  <c r="D190" i="13"/>
  <c r="D191" i="13"/>
  <c r="D192" i="13"/>
  <c r="D193" i="13"/>
  <c r="E193" i="13" s="1"/>
  <c r="D194" i="13"/>
  <c r="D195" i="13"/>
  <c r="D196" i="13"/>
  <c r="D197" i="13"/>
  <c r="E197" i="13" s="1"/>
  <c r="D198" i="13"/>
  <c r="D199" i="13"/>
  <c r="D200" i="13"/>
  <c r="D201" i="13"/>
  <c r="E201" i="13" s="1"/>
  <c r="D202" i="13"/>
  <c r="D203" i="13"/>
  <c r="D204" i="13"/>
  <c r="D205" i="13"/>
  <c r="E205" i="13" s="1"/>
  <c r="D206" i="13"/>
  <c r="D207" i="13"/>
  <c r="D208" i="13"/>
  <c r="D209" i="13"/>
  <c r="E209" i="13" s="1"/>
  <c r="D210" i="13"/>
  <c r="D211" i="13"/>
  <c r="D212" i="13"/>
  <c r="D213" i="13"/>
  <c r="E213" i="13" s="1"/>
  <c r="D214" i="13"/>
  <c r="D215" i="13"/>
  <c r="D216" i="13"/>
  <c r="D217" i="13"/>
  <c r="E217" i="13" s="1"/>
  <c r="D218" i="13"/>
  <c r="D219" i="13"/>
  <c r="D220" i="13"/>
  <c r="D221" i="13"/>
  <c r="E221" i="13" s="1"/>
  <c r="D222" i="13"/>
  <c r="D223" i="13"/>
  <c r="D224" i="13"/>
  <c r="D225" i="13"/>
  <c r="E225" i="13" s="1"/>
  <c r="D226" i="13"/>
  <c r="D227" i="13"/>
  <c r="D228" i="13"/>
  <c r="D229" i="13"/>
  <c r="E229" i="13" s="1"/>
  <c r="D230" i="13"/>
  <c r="D231" i="13"/>
  <c r="D232" i="13"/>
  <c r="D233" i="13"/>
  <c r="E233" i="13" s="1"/>
  <c r="D234" i="13"/>
  <c r="D235" i="13"/>
  <c r="D236" i="13"/>
  <c r="D237" i="13"/>
  <c r="E237" i="13" s="1"/>
  <c r="D238" i="13"/>
  <c r="D239" i="13"/>
  <c r="D240" i="13"/>
  <c r="D241" i="13"/>
  <c r="E241" i="13" s="1"/>
  <c r="D242" i="13"/>
  <c r="D243" i="13"/>
  <c r="D244" i="13"/>
  <c r="D245" i="13"/>
  <c r="E245" i="13" s="1"/>
  <c r="D246" i="13"/>
  <c r="D247" i="13"/>
  <c r="D248" i="13"/>
  <c r="D249" i="13"/>
  <c r="E249" i="13" s="1"/>
  <c r="D250" i="13"/>
  <c r="D251" i="13"/>
  <c r="D252" i="13"/>
  <c r="D253" i="13"/>
  <c r="E253" i="13" s="1"/>
  <c r="D254" i="13"/>
  <c r="D255" i="13"/>
  <c r="D256" i="13"/>
  <c r="D257" i="13"/>
  <c r="E257" i="13" s="1"/>
  <c r="D258" i="13"/>
  <c r="D259" i="13"/>
  <c r="D260" i="13"/>
  <c r="D261" i="13"/>
  <c r="E261" i="13" s="1"/>
  <c r="D262" i="13"/>
  <c r="D263" i="13"/>
  <c r="D264" i="13"/>
  <c r="D265" i="13"/>
  <c r="E265" i="13" s="1"/>
  <c r="D266" i="13"/>
  <c r="D267" i="13"/>
  <c r="D268" i="13"/>
  <c r="D269" i="13"/>
  <c r="E269" i="13" s="1"/>
  <c r="D270" i="13"/>
  <c r="D271" i="13"/>
  <c r="D272" i="13"/>
  <c r="D273" i="13"/>
  <c r="E273" i="13" s="1"/>
  <c r="D274" i="13"/>
  <c r="D275" i="13"/>
  <c r="D276" i="13"/>
  <c r="D277" i="13"/>
  <c r="E277" i="13" s="1"/>
  <c r="D278" i="13"/>
  <c r="D279" i="13"/>
  <c r="D280" i="13"/>
  <c r="D281" i="13"/>
  <c r="E281" i="13" s="1"/>
  <c r="D282" i="13"/>
  <c r="D283" i="13"/>
  <c r="D284" i="13"/>
  <c r="D285" i="13"/>
  <c r="E285" i="13" s="1"/>
  <c r="D286" i="13"/>
  <c r="D287" i="13"/>
  <c r="D288" i="13"/>
  <c r="D289" i="13"/>
  <c r="E289" i="13" s="1"/>
  <c r="D290" i="13"/>
  <c r="D291" i="13"/>
  <c r="D292" i="13"/>
  <c r="D293" i="13"/>
  <c r="E293" i="13" s="1"/>
  <c r="D294" i="13"/>
  <c r="D295" i="13"/>
  <c r="D296" i="13"/>
  <c r="D297" i="13"/>
  <c r="E297" i="13" s="1"/>
  <c r="D298" i="13"/>
  <c r="D299" i="13"/>
  <c r="D300" i="13"/>
  <c r="D301" i="13"/>
  <c r="E301" i="13" s="1"/>
  <c r="D302" i="13"/>
  <c r="D303" i="13"/>
  <c r="D304" i="13"/>
  <c r="D305" i="13"/>
  <c r="E305" i="13" s="1"/>
  <c r="D306" i="13"/>
  <c r="D307" i="13"/>
  <c r="D308" i="13"/>
  <c r="D309" i="13"/>
  <c r="E309" i="13" s="1"/>
  <c r="D310" i="13"/>
  <c r="D311" i="13"/>
  <c r="D312" i="13"/>
  <c r="D313" i="13"/>
  <c r="E313" i="13" s="1"/>
  <c r="D314" i="13"/>
  <c r="D315" i="13"/>
  <c r="D316" i="13"/>
  <c r="D317" i="13"/>
  <c r="E317" i="13" s="1"/>
  <c r="D318" i="13"/>
  <c r="D319" i="13"/>
  <c r="D320" i="13"/>
  <c r="D321" i="13"/>
  <c r="E321" i="13" s="1"/>
  <c r="D322" i="13"/>
  <c r="D323" i="13"/>
  <c r="D324" i="13"/>
  <c r="D325" i="13"/>
  <c r="E325" i="13" s="1"/>
  <c r="D326" i="13"/>
  <c r="D327" i="13"/>
  <c r="D328" i="13"/>
  <c r="D329" i="13"/>
  <c r="E329" i="13" s="1"/>
  <c r="D330" i="13"/>
  <c r="D331" i="13"/>
  <c r="D332" i="13"/>
  <c r="D333" i="13"/>
  <c r="E333" i="13" s="1"/>
  <c r="D334" i="13"/>
  <c r="D335" i="13"/>
  <c r="D336" i="13"/>
  <c r="D337" i="13"/>
  <c r="E337" i="13" s="1"/>
  <c r="D338" i="13"/>
  <c r="D339" i="13"/>
  <c r="D340" i="13"/>
  <c r="D341" i="13"/>
  <c r="E341" i="13" s="1"/>
  <c r="D342" i="13"/>
  <c r="D343" i="13"/>
  <c r="D344" i="13"/>
  <c r="D345" i="13"/>
  <c r="E345" i="13" s="1"/>
  <c r="D346" i="13"/>
  <c r="D347" i="13"/>
  <c r="D348" i="13"/>
  <c r="D349" i="13"/>
  <c r="E349" i="13" s="1"/>
  <c r="D350" i="13"/>
  <c r="D351" i="13"/>
  <c r="D352" i="13"/>
  <c r="D353" i="13"/>
  <c r="E353" i="13" s="1"/>
  <c r="D354" i="13"/>
  <c r="D355" i="13"/>
  <c r="D356" i="13"/>
  <c r="D357" i="13"/>
  <c r="E357" i="13" s="1"/>
  <c r="D358" i="13"/>
  <c r="D359" i="13"/>
  <c r="D360" i="13"/>
  <c r="D361" i="13"/>
  <c r="E361" i="13" s="1"/>
  <c r="D362" i="13"/>
  <c r="D363" i="13"/>
  <c r="D364" i="13"/>
  <c r="D365" i="13"/>
  <c r="E365" i="13" s="1"/>
  <c r="D366" i="13"/>
  <c r="D367" i="13"/>
  <c r="D368" i="13"/>
  <c r="D369" i="13"/>
  <c r="E369" i="13" s="1"/>
  <c r="D370" i="13"/>
  <c r="D371" i="13"/>
  <c r="D372" i="13"/>
  <c r="D373" i="13"/>
  <c r="E373" i="13" s="1"/>
  <c r="D374" i="13"/>
  <c r="J5" i="2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F32" i="8"/>
  <c r="F33" i="8" s="1"/>
  <c r="K14" i="8"/>
  <c r="J62" i="2" l="1"/>
  <c r="J68" i="2"/>
  <c r="J69" i="2"/>
  <c r="J67" i="2"/>
  <c r="J70" i="2"/>
  <c r="K5" i="2"/>
  <c r="E372" i="13"/>
  <c r="E368" i="13"/>
  <c r="E364" i="13"/>
  <c r="E360" i="13"/>
  <c r="E356" i="13"/>
  <c r="E352" i="13"/>
  <c r="E348" i="13"/>
  <c r="E344" i="13"/>
  <c r="E340" i="13"/>
  <c r="E336" i="13"/>
  <c r="E332" i="13"/>
  <c r="E328" i="13"/>
  <c r="E324" i="13"/>
  <c r="E320" i="13"/>
  <c r="E316" i="13"/>
  <c r="E312" i="13"/>
  <c r="E308" i="13"/>
  <c r="E304" i="13"/>
  <c r="E300" i="13"/>
  <c r="E296" i="13"/>
  <c r="E292" i="13"/>
  <c r="E288" i="13"/>
  <c r="E284" i="13"/>
  <c r="E280" i="13"/>
  <c r="E276" i="13"/>
  <c r="E272" i="13"/>
  <c r="E268" i="13"/>
  <c r="E264" i="13"/>
  <c r="E260" i="13"/>
  <c r="E256" i="13"/>
  <c r="E252" i="13"/>
  <c r="E248" i="13"/>
  <c r="E244" i="13"/>
  <c r="E240" i="13"/>
  <c r="E236" i="13"/>
  <c r="E232" i="13"/>
  <c r="E228" i="13"/>
  <c r="E224" i="13"/>
  <c r="E220" i="13"/>
  <c r="E216" i="13"/>
  <c r="E212" i="13"/>
  <c r="E208" i="13"/>
  <c r="E204" i="13"/>
  <c r="E200" i="13"/>
  <c r="E196" i="13"/>
  <c r="E192" i="13"/>
  <c r="E188" i="13"/>
  <c r="E184" i="13"/>
  <c r="E180" i="13"/>
  <c r="E176" i="13"/>
  <c r="E172" i="13"/>
  <c r="E168" i="13"/>
  <c r="E164" i="13"/>
  <c r="E160" i="13"/>
  <c r="E156" i="13"/>
  <c r="E152" i="13"/>
  <c r="E148" i="13"/>
  <c r="E144" i="13"/>
  <c r="E140" i="13"/>
  <c r="E136" i="13"/>
  <c r="E371" i="13"/>
  <c r="E367" i="13"/>
  <c r="E363" i="13"/>
  <c r="E359" i="13"/>
  <c r="E355" i="13"/>
  <c r="E351" i="13"/>
  <c r="E347" i="13"/>
  <c r="E343" i="13"/>
  <c r="E339" i="13"/>
  <c r="E335" i="13"/>
  <c r="E331" i="13"/>
  <c r="E327" i="13"/>
  <c r="E323" i="13"/>
  <c r="E319" i="13"/>
  <c r="E315" i="13"/>
  <c r="E311" i="13"/>
  <c r="E307" i="13"/>
  <c r="E303" i="13"/>
  <c r="E299" i="13"/>
  <c r="E295" i="13"/>
  <c r="E291" i="13"/>
  <c r="E287" i="13"/>
  <c r="E283" i="13"/>
  <c r="E279" i="13"/>
  <c r="E275" i="13"/>
  <c r="E271" i="13"/>
  <c r="E267" i="13"/>
  <c r="E263" i="13"/>
  <c r="E259" i="13"/>
  <c r="E255" i="13"/>
  <c r="E251" i="13"/>
  <c r="E247" i="13"/>
  <c r="E243" i="13"/>
  <c r="E239" i="13"/>
  <c r="E235" i="13"/>
  <c r="E231" i="13"/>
  <c r="E227" i="13"/>
  <c r="E223" i="13"/>
  <c r="E219" i="13"/>
  <c r="E215" i="13"/>
  <c r="E211" i="13"/>
  <c r="E207" i="13"/>
  <c r="E203" i="13"/>
  <c r="E199" i="13"/>
  <c r="E195" i="13"/>
  <c r="E191" i="13"/>
  <c r="E187" i="13"/>
  <c r="E183" i="13"/>
  <c r="E179" i="13"/>
  <c r="E175" i="13"/>
  <c r="E171" i="13"/>
  <c r="E167" i="13"/>
  <c r="E163" i="13"/>
  <c r="E159" i="13"/>
  <c r="E155" i="13"/>
  <c r="E151" i="13"/>
  <c r="E147" i="13"/>
  <c r="E143" i="13"/>
  <c r="E139" i="13"/>
  <c r="E135" i="13"/>
  <c r="E374" i="13"/>
  <c r="E370" i="13"/>
  <c r="E366" i="13"/>
  <c r="E362" i="13"/>
  <c r="E358" i="13"/>
  <c r="E354" i="13"/>
  <c r="E350" i="13"/>
  <c r="E346" i="13"/>
  <c r="E342" i="13"/>
  <c r="E338" i="13"/>
  <c r="E334" i="13"/>
  <c r="E330" i="13"/>
  <c r="E326" i="13"/>
  <c r="E322" i="13"/>
  <c r="E318" i="13"/>
  <c r="E314" i="13"/>
  <c r="E310" i="13"/>
  <c r="E306" i="13"/>
  <c r="E302" i="13"/>
  <c r="E298" i="13"/>
  <c r="E294" i="13"/>
  <c r="E290" i="13"/>
  <c r="E286" i="13"/>
  <c r="E282" i="13"/>
  <c r="E278" i="13"/>
  <c r="E274" i="13"/>
  <c r="E270" i="13"/>
  <c r="E266" i="13"/>
  <c r="E262" i="13"/>
  <c r="E258" i="13"/>
  <c r="E254" i="13"/>
  <c r="E250" i="13"/>
  <c r="E246" i="13"/>
  <c r="E242" i="13"/>
  <c r="E238" i="13"/>
  <c r="E234" i="13"/>
  <c r="E230" i="13"/>
  <c r="E226" i="13"/>
  <c r="E222" i="13"/>
  <c r="E218" i="13"/>
  <c r="E214" i="13"/>
  <c r="E210" i="13"/>
  <c r="E206" i="13"/>
  <c r="E202" i="13"/>
  <c r="E198" i="13"/>
  <c r="E194" i="13"/>
  <c r="E190" i="13"/>
  <c r="E186" i="13"/>
  <c r="E182" i="13"/>
  <c r="E178" i="13"/>
  <c r="E174" i="13"/>
  <c r="E170" i="13"/>
  <c r="E166" i="13"/>
  <c r="E162" i="13"/>
  <c r="E158" i="13"/>
  <c r="E154" i="13"/>
  <c r="E150" i="13"/>
  <c r="E146" i="13"/>
  <c r="E142" i="13"/>
  <c r="E138" i="13"/>
  <c r="E15" i="13"/>
  <c r="G15" i="13"/>
  <c r="D16" i="13" s="1"/>
  <c r="G16" i="13" s="1"/>
  <c r="D17" i="13" s="1"/>
  <c r="G17" i="13" s="1"/>
  <c r="D18" i="13" s="1"/>
  <c r="I107" i="2"/>
  <c r="I106" i="2"/>
  <c r="I109" i="2"/>
  <c r="I108" i="2"/>
  <c r="H107" i="2"/>
  <c r="H106" i="2"/>
  <c r="H109" i="2"/>
  <c r="H108" i="2"/>
  <c r="C15" i="13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C168" i="13" s="1"/>
  <c r="C169" i="13" s="1"/>
  <c r="C170" i="13" s="1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K62" i="2" l="1"/>
  <c r="K69" i="2"/>
  <c r="K68" i="2"/>
  <c r="K70" i="2"/>
  <c r="K15" i="13"/>
  <c r="L5" i="2"/>
  <c r="E16" i="13"/>
  <c r="E17" i="13"/>
  <c r="C195" i="13"/>
  <c r="C196" i="13" s="1"/>
  <c r="C197" i="13" s="1"/>
  <c r="C198" i="13" s="1"/>
  <c r="C199" i="13" s="1"/>
  <c r="C200" i="13" s="1"/>
  <c r="C201" i="13" s="1"/>
  <c r="C202" i="13" s="1"/>
  <c r="C203" i="13" s="1"/>
  <c r="C204" i="13" s="1"/>
  <c r="C205" i="13" s="1"/>
  <c r="C206" i="13" s="1"/>
  <c r="C207" i="13" s="1"/>
  <c r="C208" i="13" s="1"/>
  <c r="C209" i="13" s="1"/>
  <c r="C210" i="13" s="1"/>
  <c r="C211" i="13" s="1"/>
  <c r="C212" i="13" s="1"/>
  <c r="C213" i="13" s="1"/>
  <c r="C214" i="13" s="1"/>
  <c r="C215" i="13" s="1"/>
  <c r="C216" i="13" s="1"/>
  <c r="C217" i="13" s="1"/>
  <c r="C218" i="13" s="1"/>
  <c r="C219" i="13" s="1"/>
  <c r="C220" i="13" s="1"/>
  <c r="C221" i="13" s="1"/>
  <c r="C222" i="13" s="1"/>
  <c r="C223" i="13" s="1"/>
  <c r="C224" i="13" s="1"/>
  <c r="C225" i="13" s="1"/>
  <c r="C226" i="13" s="1"/>
  <c r="C227" i="13" s="1"/>
  <c r="C228" i="13" s="1"/>
  <c r="C229" i="13" s="1"/>
  <c r="C230" i="13" s="1"/>
  <c r="C231" i="13" s="1"/>
  <c r="C232" i="13" s="1"/>
  <c r="C233" i="13" s="1"/>
  <c r="C234" i="13" s="1"/>
  <c r="C235" i="13" s="1"/>
  <c r="C236" i="13" s="1"/>
  <c r="C237" i="13" s="1"/>
  <c r="C238" i="13" s="1"/>
  <c r="C239" i="13" s="1"/>
  <c r="C240" i="13" s="1"/>
  <c r="C241" i="13" s="1"/>
  <c r="C242" i="13" s="1"/>
  <c r="C243" i="13" s="1"/>
  <c r="C244" i="13" s="1"/>
  <c r="C245" i="13" s="1"/>
  <c r="C246" i="13" s="1"/>
  <c r="C247" i="13" s="1"/>
  <c r="C248" i="13" s="1"/>
  <c r="C249" i="13" s="1"/>
  <c r="C250" i="13" s="1"/>
  <c r="C251" i="13" s="1"/>
  <c r="C252" i="13" s="1"/>
  <c r="C253" i="13" s="1"/>
  <c r="C254" i="13" s="1"/>
  <c r="C255" i="13" s="1"/>
  <c r="C256" i="13" s="1"/>
  <c r="C257" i="13" s="1"/>
  <c r="C258" i="13" s="1"/>
  <c r="C259" i="13" s="1"/>
  <c r="C260" i="13" s="1"/>
  <c r="C261" i="13" s="1"/>
  <c r="C262" i="13" s="1"/>
  <c r="C263" i="13" s="1"/>
  <c r="C264" i="13" s="1"/>
  <c r="C265" i="13" s="1"/>
  <c r="C266" i="13" s="1"/>
  <c r="C267" i="13" s="1"/>
  <c r="C268" i="13" s="1"/>
  <c r="C269" i="13" s="1"/>
  <c r="C270" i="13" s="1"/>
  <c r="C271" i="13" s="1"/>
  <c r="C272" i="13" s="1"/>
  <c r="C273" i="13" s="1"/>
  <c r="C274" i="13" s="1"/>
  <c r="C275" i="13" s="1"/>
  <c r="C276" i="13" s="1"/>
  <c r="C277" i="13" s="1"/>
  <c r="C278" i="13" s="1"/>
  <c r="C279" i="13" s="1"/>
  <c r="C280" i="13" s="1"/>
  <c r="C281" i="13" s="1"/>
  <c r="C282" i="13" s="1"/>
  <c r="C283" i="13" s="1"/>
  <c r="C284" i="13" s="1"/>
  <c r="C285" i="13" s="1"/>
  <c r="C286" i="13" s="1"/>
  <c r="C287" i="13" s="1"/>
  <c r="C288" i="13" s="1"/>
  <c r="C289" i="13" s="1"/>
  <c r="C290" i="13" s="1"/>
  <c r="C291" i="13" s="1"/>
  <c r="C292" i="13" s="1"/>
  <c r="C293" i="13" s="1"/>
  <c r="C294" i="13" s="1"/>
  <c r="C295" i="13" s="1"/>
  <c r="C296" i="13" s="1"/>
  <c r="C297" i="13" s="1"/>
  <c r="C298" i="13" s="1"/>
  <c r="C299" i="13" s="1"/>
  <c r="C300" i="13" s="1"/>
  <c r="C301" i="13" s="1"/>
  <c r="C302" i="13" s="1"/>
  <c r="C303" i="13" s="1"/>
  <c r="C304" i="13" s="1"/>
  <c r="C305" i="13" s="1"/>
  <c r="C306" i="13" s="1"/>
  <c r="C307" i="13" s="1"/>
  <c r="C308" i="13" s="1"/>
  <c r="C309" i="13" s="1"/>
  <c r="C310" i="13" s="1"/>
  <c r="C311" i="13" s="1"/>
  <c r="C312" i="13" s="1"/>
  <c r="C313" i="13" s="1"/>
  <c r="C314" i="13" s="1"/>
  <c r="C315" i="13" s="1"/>
  <c r="C316" i="13" s="1"/>
  <c r="C317" i="13" s="1"/>
  <c r="C318" i="13" s="1"/>
  <c r="C319" i="13" s="1"/>
  <c r="C320" i="13" s="1"/>
  <c r="C321" i="13" s="1"/>
  <c r="C322" i="13" s="1"/>
  <c r="C323" i="13" s="1"/>
  <c r="C324" i="13" s="1"/>
  <c r="C325" i="13" s="1"/>
  <c r="C326" i="13" s="1"/>
  <c r="C327" i="13" s="1"/>
  <c r="C328" i="13" s="1"/>
  <c r="C329" i="13" s="1"/>
  <c r="C330" i="13" s="1"/>
  <c r="C331" i="13" s="1"/>
  <c r="C332" i="13" s="1"/>
  <c r="C333" i="13" s="1"/>
  <c r="C334" i="13" s="1"/>
  <c r="C335" i="13" s="1"/>
  <c r="C336" i="13" s="1"/>
  <c r="C337" i="13" s="1"/>
  <c r="C338" i="13" s="1"/>
  <c r="C339" i="13" s="1"/>
  <c r="C340" i="13" s="1"/>
  <c r="C341" i="13" s="1"/>
  <c r="C342" i="13" s="1"/>
  <c r="C343" i="13" s="1"/>
  <c r="C344" i="13" s="1"/>
  <c r="C345" i="13" s="1"/>
  <c r="C346" i="13" s="1"/>
  <c r="C347" i="13" s="1"/>
  <c r="C348" i="13" s="1"/>
  <c r="C349" i="13" s="1"/>
  <c r="C350" i="13" s="1"/>
  <c r="C351" i="13" s="1"/>
  <c r="C352" i="13" s="1"/>
  <c r="C353" i="13" s="1"/>
  <c r="C354" i="13" s="1"/>
  <c r="C355" i="13" s="1"/>
  <c r="C356" i="13" s="1"/>
  <c r="C357" i="13" s="1"/>
  <c r="C358" i="13" s="1"/>
  <c r="C359" i="13" s="1"/>
  <c r="C360" i="13" s="1"/>
  <c r="C361" i="13" s="1"/>
  <c r="C362" i="13" s="1"/>
  <c r="C363" i="13" s="1"/>
  <c r="C364" i="13" s="1"/>
  <c r="C365" i="13" s="1"/>
  <c r="C366" i="13" s="1"/>
  <c r="C367" i="13" s="1"/>
  <c r="C368" i="13" s="1"/>
  <c r="C369" i="13" s="1"/>
  <c r="C370" i="13" s="1"/>
  <c r="C371" i="13" s="1"/>
  <c r="C372" i="13" s="1"/>
  <c r="C373" i="13" s="1"/>
  <c r="C374" i="13" s="1"/>
  <c r="E18" i="13"/>
  <c r="G18" i="13"/>
  <c r="D19" i="13" s="1"/>
  <c r="S46" i="2" l="1"/>
  <c r="H46" i="2"/>
  <c r="H7" i="2" s="1"/>
  <c r="K16" i="13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08" i="13" s="1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K137" i="13" s="1"/>
  <c r="K138" i="13" s="1"/>
  <c r="K139" i="13" s="1"/>
  <c r="K140" i="13" s="1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K153" i="13" s="1"/>
  <c r="K154" i="13" s="1"/>
  <c r="K155" i="13" s="1"/>
  <c r="K156" i="13" s="1"/>
  <c r="K157" i="13" s="1"/>
  <c r="K158" i="13" s="1"/>
  <c r="K159" i="13" s="1"/>
  <c r="K160" i="13" s="1"/>
  <c r="K161" i="13" s="1"/>
  <c r="K162" i="13" s="1"/>
  <c r="K163" i="13" s="1"/>
  <c r="K164" i="13" s="1"/>
  <c r="K165" i="13" s="1"/>
  <c r="K166" i="13" s="1"/>
  <c r="K167" i="13" s="1"/>
  <c r="K168" i="13" s="1"/>
  <c r="K169" i="13" s="1"/>
  <c r="K170" i="13" s="1"/>
  <c r="K171" i="13" s="1"/>
  <c r="K172" i="13" s="1"/>
  <c r="K173" i="13" s="1"/>
  <c r="K174" i="13" s="1"/>
  <c r="K175" i="13" s="1"/>
  <c r="K176" i="13" s="1"/>
  <c r="K177" i="13" s="1"/>
  <c r="K178" i="13" s="1"/>
  <c r="K179" i="13" s="1"/>
  <c r="K180" i="13" s="1"/>
  <c r="K181" i="13" s="1"/>
  <c r="K182" i="13" s="1"/>
  <c r="K183" i="13" s="1"/>
  <c r="K184" i="13" s="1"/>
  <c r="K185" i="13" s="1"/>
  <c r="K186" i="13" s="1"/>
  <c r="K187" i="13" s="1"/>
  <c r="K188" i="13" s="1"/>
  <c r="K189" i="13" s="1"/>
  <c r="K190" i="13" s="1"/>
  <c r="K191" i="13" s="1"/>
  <c r="K192" i="13" s="1"/>
  <c r="K193" i="13" s="1"/>
  <c r="K194" i="13" s="1"/>
  <c r="K195" i="13" s="1"/>
  <c r="K196" i="13" s="1"/>
  <c r="K197" i="13" s="1"/>
  <c r="K198" i="13" s="1"/>
  <c r="K199" i="13" s="1"/>
  <c r="K200" i="13" s="1"/>
  <c r="K201" i="13" s="1"/>
  <c r="K202" i="13" s="1"/>
  <c r="K203" i="13" s="1"/>
  <c r="K204" i="13" s="1"/>
  <c r="K205" i="13" s="1"/>
  <c r="K206" i="13" s="1"/>
  <c r="K207" i="13" s="1"/>
  <c r="K208" i="13" s="1"/>
  <c r="K209" i="13" s="1"/>
  <c r="K210" i="13" s="1"/>
  <c r="K211" i="13" s="1"/>
  <c r="K212" i="13" s="1"/>
  <c r="K213" i="13" s="1"/>
  <c r="K214" i="13" s="1"/>
  <c r="K215" i="13" s="1"/>
  <c r="K216" i="13" s="1"/>
  <c r="K217" i="13" s="1"/>
  <c r="K218" i="13" s="1"/>
  <c r="K219" i="13" s="1"/>
  <c r="K220" i="13" s="1"/>
  <c r="K221" i="13" s="1"/>
  <c r="K222" i="13" s="1"/>
  <c r="K223" i="13" s="1"/>
  <c r="K224" i="13" s="1"/>
  <c r="K225" i="13" s="1"/>
  <c r="K226" i="13" s="1"/>
  <c r="K227" i="13" s="1"/>
  <c r="K228" i="13" s="1"/>
  <c r="K229" i="13" s="1"/>
  <c r="K230" i="13" s="1"/>
  <c r="K231" i="13" s="1"/>
  <c r="K232" i="13" s="1"/>
  <c r="K233" i="13" s="1"/>
  <c r="K234" i="13" s="1"/>
  <c r="K235" i="13" s="1"/>
  <c r="K236" i="13" s="1"/>
  <c r="K237" i="13" s="1"/>
  <c r="K238" i="13" s="1"/>
  <c r="K239" i="13" s="1"/>
  <c r="K240" i="13" s="1"/>
  <c r="K241" i="13" s="1"/>
  <c r="K242" i="13" s="1"/>
  <c r="K243" i="13" s="1"/>
  <c r="K244" i="13" s="1"/>
  <c r="K245" i="13" s="1"/>
  <c r="K246" i="13" s="1"/>
  <c r="K247" i="13" s="1"/>
  <c r="K248" i="13" s="1"/>
  <c r="K249" i="13" s="1"/>
  <c r="K250" i="13" s="1"/>
  <c r="K251" i="13" s="1"/>
  <c r="K252" i="13" s="1"/>
  <c r="K253" i="13" s="1"/>
  <c r="K254" i="13" s="1"/>
  <c r="K255" i="13" s="1"/>
  <c r="K256" i="13" s="1"/>
  <c r="K257" i="13" s="1"/>
  <c r="K258" i="13" s="1"/>
  <c r="K259" i="13" s="1"/>
  <c r="K260" i="13" s="1"/>
  <c r="K261" i="13" s="1"/>
  <c r="K262" i="13" s="1"/>
  <c r="K263" i="13" s="1"/>
  <c r="K264" i="13" s="1"/>
  <c r="K265" i="13" s="1"/>
  <c r="K266" i="13" s="1"/>
  <c r="K267" i="13" s="1"/>
  <c r="K268" i="13" s="1"/>
  <c r="K269" i="13" s="1"/>
  <c r="K270" i="13" s="1"/>
  <c r="K271" i="13" s="1"/>
  <c r="K272" i="13" s="1"/>
  <c r="K273" i="13" s="1"/>
  <c r="K274" i="13" s="1"/>
  <c r="K275" i="13" s="1"/>
  <c r="K276" i="13" s="1"/>
  <c r="K277" i="13" s="1"/>
  <c r="K278" i="13" s="1"/>
  <c r="K279" i="13" s="1"/>
  <c r="K280" i="13" s="1"/>
  <c r="K281" i="13" s="1"/>
  <c r="K282" i="13" s="1"/>
  <c r="K283" i="13" s="1"/>
  <c r="K284" i="13" s="1"/>
  <c r="K285" i="13" s="1"/>
  <c r="K286" i="13" s="1"/>
  <c r="K287" i="13" s="1"/>
  <c r="K288" i="13" s="1"/>
  <c r="K289" i="13" s="1"/>
  <c r="K290" i="13" s="1"/>
  <c r="K291" i="13" s="1"/>
  <c r="K292" i="13" s="1"/>
  <c r="K293" i="13" s="1"/>
  <c r="K294" i="13" s="1"/>
  <c r="K295" i="13" s="1"/>
  <c r="K296" i="13" s="1"/>
  <c r="K297" i="13" s="1"/>
  <c r="K298" i="13" s="1"/>
  <c r="K299" i="13" s="1"/>
  <c r="K300" i="13" s="1"/>
  <c r="K301" i="13" s="1"/>
  <c r="K302" i="13" s="1"/>
  <c r="K303" i="13" s="1"/>
  <c r="K304" i="13" s="1"/>
  <c r="K305" i="13" s="1"/>
  <c r="K306" i="13" s="1"/>
  <c r="K307" i="13" s="1"/>
  <c r="K308" i="13" s="1"/>
  <c r="K309" i="13" s="1"/>
  <c r="K310" i="13" s="1"/>
  <c r="K311" i="13" s="1"/>
  <c r="K312" i="13" s="1"/>
  <c r="K313" i="13" s="1"/>
  <c r="K314" i="13" s="1"/>
  <c r="K315" i="13" s="1"/>
  <c r="K316" i="13" s="1"/>
  <c r="K317" i="13" s="1"/>
  <c r="K318" i="13" s="1"/>
  <c r="K319" i="13" s="1"/>
  <c r="K320" i="13" s="1"/>
  <c r="K321" i="13" s="1"/>
  <c r="K322" i="13" s="1"/>
  <c r="K323" i="13" s="1"/>
  <c r="K324" i="13" s="1"/>
  <c r="K325" i="13" s="1"/>
  <c r="K326" i="13" s="1"/>
  <c r="K327" i="13" s="1"/>
  <c r="K328" i="13" s="1"/>
  <c r="K329" i="13" s="1"/>
  <c r="K330" i="13" s="1"/>
  <c r="K331" i="13" s="1"/>
  <c r="K332" i="13" s="1"/>
  <c r="K333" i="13" s="1"/>
  <c r="K334" i="13" s="1"/>
  <c r="K335" i="13" s="1"/>
  <c r="K336" i="13" s="1"/>
  <c r="K337" i="13" s="1"/>
  <c r="K338" i="13" s="1"/>
  <c r="K339" i="13" s="1"/>
  <c r="K340" i="13" s="1"/>
  <c r="K341" i="13" s="1"/>
  <c r="K342" i="13" s="1"/>
  <c r="K343" i="13" s="1"/>
  <c r="K344" i="13" s="1"/>
  <c r="K345" i="13" s="1"/>
  <c r="K346" i="13" s="1"/>
  <c r="K347" i="13" s="1"/>
  <c r="K348" i="13" s="1"/>
  <c r="K349" i="13" s="1"/>
  <c r="K350" i="13" s="1"/>
  <c r="K351" i="13" s="1"/>
  <c r="K352" i="13" s="1"/>
  <c r="K353" i="13" s="1"/>
  <c r="K354" i="13" s="1"/>
  <c r="K355" i="13" s="1"/>
  <c r="K356" i="13" s="1"/>
  <c r="K357" i="13" s="1"/>
  <c r="K358" i="13" s="1"/>
  <c r="K359" i="13" s="1"/>
  <c r="K360" i="13" s="1"/>
  <c r="K361" i="13" s="1"/>
  <c r="K362" i="13" s="1"/>
  <c r="K363" i="13" s="1"/>
  <c r="K364" i="13" s="1"/>
  <c r="K365" i="13" s="1"/>
  <c r="K366" i="13" s="1"/>
  <c r="K367" i="13" s="1"/>
  <c r="K368" i="13" s="1"/>
  <c r="K369" i="13" s="1"/>
  <c r="K370" i="13" s="1"/>
  <c r="K371" i="13" s="1"/>
  <c r="K372" i="13" s="1"/>
  <c r="K373" i="13" s="1"/>
  <c r="K374" i="13" s="1"/>
  <c r="M5" i="2"/>
  <c r="G19" i="13"/>
  <c r="D20" i="13" s="1"/>
  <c r="E19" i="13"/>
  <c r="H83" i="2" l="1"/>
  <c r="H82" i="2"/>
  <c r="M62" i="2"/>
  <c r="M69" i="2"/>
  <c r="M67" i="2"/>
  <c r="M68" i="2"/>
  <c r="M70" i="2"/>
  <c r="M109" i="2"/>
  <c r="M107" i="2"/>
  <c r="N5" i="2"/>
  <c r="E20" i="13"/>
  <c r="G20" i="13"/>
  <c r="D21" i="13" s="1"/>
  <c r="N62" i="2" l="1"/>
  <c r="N68" i="2"/>
  <c r="N67" i="2"/>
  <c r="N69" i="2"/>
  <c r="N70" i="2"/>
  <c r="O5" i="2"/>
  <c r="G21" i="13"/>
  <c r="D22" i="13" s="1"/>
  <c r="E21" i="13"/>
  <c r="O62" i="2" l="1"/>
  <c r="O68" i="2"/>
  <c r="O67" i="2"/>
  <c r="O69" i="2"/>
  <c r="O70" i="2"/>
  <c r="O106" i="2"/>
  <c r="P5" i="2"/>
  <c r="O107" i="2"/>
  <c r="O109" i="2"/>
  <c r="O108" i="2"/>
  <c r="E22" i="13"/>
  <c r="G22" i="13"/>
  <c r="D23" i="13" s="1"/>
  <c r="P62" i="2" l="1"/>
  <c r="P68" i="2"/>
  <c r="P67" i="2"/>
  <c r="P69" i="2"/>
  <c r="P70" i="2"/>
  <c r="P109" i="2"/>
  <c r="P107" i="2"/>
  <c r="P108" i="2"/>
  <c r="Q5" i="2"/>
  <c r="P106" i="2"/>
  <c r="G23" i="13"/>
  <c r="D24" i="13" s="1"/>
  <c r="E23" i="13"/>
  <c r="R5" i="2" l="1"/>
  <c r="E24" i="13"/>
  <c r="G24" i="13"/>
  <c r="D25" i="13" s="1"/>
  <c r="R108" i="2" l="1"/>
  <c r="R109" i="2"/>
  <c r="R106" i="2"/>
  <c r="R107" i="2"/>
  <c r="G25" i="13"/>
  <c r="D26" i="13" s="1"/>
  <c r="E25" i="13"/>
  <c r="E26" i="13" l="1"/>
  <c r="G26" i="13"/>
  <c r="D27" i="13" s="1"/>
  <c r="G27" i="13" l="1"/>
  <c r="D28" i="13" s="1"/>
  <c r="E27" i="13"/>
  <c r="E28" i="13" l="1"/>
  <c r="G28" i="13"/>
  <c r="D29" i="13" s="1"/>
  <c r="G29" i="13" l="1"/>
  <c r="D30" i="13" s="1"/>
  <c r="E29" i="13"/>
  <c r="I46" i="2" l="1"/>
  <c r="I7" i="2" s="1"/>
  <c r="E30" i="13"/>
  <c r="G30" i="13"/>
  <c r="D31" i="13" s="1"/>
  <c r="G31" i="13" l="1"/>
  <c r="D32" i="13" s="1"/>
  <c r="E31" i="13"/>
  <c r="E32" i="13" l="1"/>
  <c r="G32" i="13"/>
  <c r="D33" i="13" s="1"/>
  <c r="G33" i="13" l="1"/>
  <c r="D34" i="13" s="1"/>
  <c r="E33" i="13"/>
  <c r="E34" i="13" l="1"/>
  <c r="G34" i="13"/>
  <c r="D35" i="13" s="1"/>
  <c r="G35" i="13" l="1"/>
  <c r="D36" i="13" s="1"/>
  <c r="E35" i="13"/>
  <c r="E36" i="13" l="1"/>
  <c r="G36" i="13"/>
  <c r="D37" i="13" s="1"/>
  <c r="G37" i="13" l="1"/>
  <c r="D38" i="13" s="1"/>
  <c r="E37" i="13"/>
  <c r="E38" i="13" l="1"/>
  <c r="G38" i="13"/>
  <c r="D39" i="13" s="1"/>
  <c r="G39" i="13" l="1"/>
  <c r="D40" i="13" s="1"/>
  <c r="E39" i="13"/>
  <c r="H80" i="2"/>
  <c r="I80" i="2"/>
  <c r="G40" i="13" l="1"/>
  <c r="D41" i="13" s="1"/>
  <c r="E40" i="13"/>
  <c r="G41" i="13" l="1"/>
  <c r="D42" i="13" s="1"/>
  <c r="E41" i="13"/>
  <c r="J46" i="2" l="1"/>
  <c r="E42" i="13"/>
  <c r="G42" i="13"/>
  <c r="D43" i="13" s="1"/>
  <c r="K106" i="2"/>
  <c r="K107" i="2"/>
  <c r="K108" i="2"/>
  <c r="K109" i="2"/>
  <c r="J7" i="2" l="1"/>
  <c r="G43" i="13"/>
  <c r="D44" i="13" s="1"/>
  <c r="E43" i="13"/>
  <c r="J106" i="2"/>
  <c r="J107" i="2"/>
  <c r="J108" i="2"/>
  <c r="J109" i="2"/>
  <c r="T24" i="31" l="1"/>
  <c r="O59" i="31"/>
  <c r="G44" i="13"/>
  <c r="D45" i="13" s="1"/>
  <c r="E44" i="13"/>
  <c r="T25" i="31" l="1"/>
  <c r="P60" i="31"/>
  <c r="P64" i="31"/>
  <c r="P68" i="31"/>
  <c r="P61" i="31"/>
  <c r="P62" i="31"/>
  <c r="P69" i="31"/>
  <c r="P63" i="31"/>
  <c r="P67" i="31"/>
  <c r="P65" i="31"/>
  <c r="P66" i="31"/>
  <c r="P59" i="31"/>
  <c r="Q59" i="31" s="1"/>
  <c r="P70" i="31"/>
  <c r="O60" i="31"/>
  <c r="E45" i="13"/>
  <c r="G45" i="13"/>
  <c r="D46" i="13" s="1"/>
  <c r="T26" i="31" l="1"/>
  <c r="P74" i="31"/>
  <c r="P77" i="31"/>
  <c r="P78" i="31"/>
  <c r="P72" i="31"/>
  <c r="P79" i="31"/>
  <c r="P80" i="31"/>
  <c r="P73" i="31"/>
  <c r="P71" i="31"/>
  <c r="P82" i="31"/>
  <c r="P81" i="31"/>
  <c r="P76" i="31"/>
  <c r="P75" i="31"/>
  <c r="Q60" i="31"/>
  <c r="O61" i="31"/>
  <c r="G46" i="13"/>
  <c r="D47" i="13" s="1"/>
  <c r="E46" i="13"/>
  <c r="T27" i="31" l="1"/>
  <c r="P86" i="31"/>
  <c r="P91" i="31"/>
  <c r="P90" i="31"/>
  <c r="P85" i="31"/>
  <c r="P84" i="31"/>
  <c r="P94" i="31"/>
  <c r="P87" i="31"/>
  <c r="P92" i="31"/>
  <c r="P88" i="31"/>
  <c r="P89" i="31"/>
  <c r="P83" i="31"/>
  <c r="P93" i="31"/>
  <c r="Q61" i="31"/>
  <c r="O62" i="31"/>
  <c r="G47" i="13"/>
  <c r="D48" i="13" s="1"/>
  <c r="E47" i="13"/>
  <c r="T28" i="31" l="1"/>
  <c r="P101" i="31"/>
  <c r="P100" i="31"/>
  <c r="P95" i="31"/>
  <c r="P102" i="31"/>
  <c r="P96" i="31"/>
  <c r="P103" i="31"/>
  <c r="P97" i="31"/>
  <c r="P106" i="31"/>
  <c r="P105" i="31"/>
  <c r="P104" i="31"/>
  <c r="P99" i="31"/>
  <c r="P98" i="31"/>
  <c r="Q62" i="31"/>
  <c r="O63" i="31"/>
  <c r="G48" i="13"/>
  <c r="D49" i="13" s="1"/>
  <c r="E48" i="13"/>
  <c r="T29" i="31" l="1"/>
  <c r="P114" i="31"/>
  <c r="P113" i="31"/>
  <c r="P108" i="31"/>
  <c r="P107" i="31"/>
  <c r="P116" i="31"/>
  <c r="P115" i="31"/>
  <c r="P109" i="31"/>
  <c r="P117" i="31"/>
  <c r="P111" i="31"/>
  <c r="P112" i="31"/>
  <c r="P110" i="31"/>
  <c r="P118" i="31"/>
  <c r="Q63" i="31"/>
  <c r="O64" i="31"/>
  <c r="G49" i="13"/>
  <c r="D50" i="13" s="1"/>
  <c r="E49" i="13"/>
  <c r="T30" i="31" l="1"/>
  <c r="P130" i="31"/>
  <c r="P125" i="31"/>
  <c r="P126" i="31"/>
  <c r="P121" i="31"/>
  <c r="P119" i="31"/>
  <c r="P123" i="31"/>
  <c r="P127" i="31"/>
  <c r="P122" i="31"/>
  <c r="P128" i="31"/>
  <c r="P120" i="31"/>
  <c r="P124" i="31"/>
  <c r="P129" i="31"/>
  <c r="O65" i="31"/>
  <c r="Q64" i="31"/>
  <c r="G50" i="13"/>
  <c r="D51" i="13" s="1"/>
  <c r="E50" i="13"/>
  <c r="T31" i="31" l="1"/>
  <c r="P131" i="31"/>
  <c r="P142" i="31"/>
  <c r="P138" i="31"/>
  <c r="P133" i="31"/>
  <c r="P132" i="31"/>
  <c r="P140" i="31"/>
  <c r="P141" i="31"/>
  <c r="P134" i="31"/>
  <c r="P135" i="31"/>
  <c r="P139" i="31"/>
  <c r="P137" i="31"/>
  <c r="P136" i="31"/>
  <c r="Q65" i="31"/>
  <c r="O66" i="31"/>
  <c r="G51" i="13"/>
  <c r="D52" i="13" s="1"/>
  <c r="E51" i="13"/>
  <c r="L91" i="2"/>
  <c r="I91" i="2"/>
  <c r="I116" i="2" s="1"/>
  <c r="P91" i="2"/>
  <c r="H91" i="2"/>
  <c r="J91" i="2"/>
  <c r="J116" i="2" s="1"/>
  <c r="O91" i="2"/>
  <c r="M91" i="2"/>
  <c r="N91" i="2"/>
  <c r="N116" i="2" s="1"/>
  <c r="K91" i="2"/>
  <c r="T32" i="31" l="1"/>
  <c r="P143" i="31"/>
  <c r="P146" i="31"/>
  <c r="P151" i="31"/>
  <c r="P150" i="31"/>
  <c r="P145" i="31"/>
  <c r="P144" i="31"/>
  <c r="P153" i="31"/>
  <c r="P147" i="31"/>
  <c r="P154" i="31"/>
  <c r="P152" i="31"/>
  <c r="P149" i="31"/>
  <c r="P148" i="31"/>
  <c r="Q66" i="31"/>
  <c r="O67" i="31"/>
  <c r="G52" i="13"/>
  <c r="D53" i="13" s="1"/>
  <c r="E52" i="13"/>
  <c r="O116" i="2"/>
  <c r="M116" i="2"/>
  <c r="H116" i="2"/>
  <c r="P116" i="2"/>
  <c r="Q116" i="2"/>
  <c r="K116" i="2"/>
  <c r="L116" i="2"/>
  <c r="Q67" i="31" l="1"/>
  <c r="O68" i="31"/>
  <c r="E53" i="13"/>
  <c r="G53" i="13"/>
  <c r="D54" i="13" s="1"/>
  <c r="Q68" i="31" l="1"/>
  <c r="O69" i="31"/>
  <c r="G54" i="13"/>
  <c r="D55" i="13" s="1"/>
  <c r="E54" i="13"/>
  <c r="Q69" i="31" l="1"/>
  <c r="O70" i="31"/>
  <c r="Q70" i="31" s="1"/>
  <c r="G55" i="13"/>
  <c r="D56" i="13" s="1"/>
  <c r="E55" i="13"/>
  <c r="R70" i="31" l="1"/>
  <c r="K46" i="2" s="1"/>
  <c r="K7" i="2" s="1"/>
  <c r="O71" i="31"/>
  <c r="G56" i="13"/>
  <c r="D57" i="13" s="1"/>
  <c r="E56" i="13"/>
  <c r="Q71" i="31" l="1"/>
  <c r="O72" i="31"/>
  <c r="E57" i="13"/>
  <c r="G57" i="13"/>
  <c r="D58" i="13" s="1"/>
  <c r="O73" i="31" l="1"/>
  <c r="Q72" i="31"/>
  <c r="G58" i="13"/>
  <c r="D59" i="13" s="1"/>
  <c r="E58" i="13"/>
  <c r="Q73" i="31" l="1"/>
  <c r="O74" i="31"/>
  <c r="G59" i="13"/>
  <c r="D60" i="13" s="1"/>
  <c r="E59" i="13"/>
  <c r="Q74" i="31" l="1"/>
  <c r="O75" i="31"/>
  <c r="G60" i="13"/>
  <c r="D61" i="13" s="1"/>
  <c r="E60" i="13"/>
  <c r="Q75" i="31" l="1"/>
  <c r="O76" i="31"/>
  <c r="E61" i="13"/>
  <c r="G61" i="13"/>
  <c r="D62" i="13" s="1"/>
  <c r="Q76" i="31" l="1"/>
  <c r="O77" i="31"/>
  <c r="G62" i="13"/>
  <c r="D63" i="13" s="1"/>
  <c r="E62" i="13"/>
  <c r="Q77" i="31" l="1"/>
  <c r="O78" i="31"/>
  <c r="G63" i="13"/>
  <c r="D64" i="13" s="1"/>
  <c r="E63" i="13"/>
  <c r="O79" i="31" l="1"/>
  <c r="Q78" i="31"/>
  <c r="G64" i="13"/>
  <c r="D65" i="13" s="1"/>
  <c r="E64" i="13"/>
  <c r="Q79" i="31" l="1"/>
  <c r="O80" i="31"/>
  <c r="E65" i="13"/>
  <c r="G65" i="13"/>
  <c r="D66" i="13" s="1"/>
  <c r="J80" i="2"/>
  <c r="K80" i="2"/>
  <c r="Q80" i="31" l="1"/>
  <c r="O81" i="31"/>
  <c r="G66" i="13"/>
  <c r="D67" i="13" s="1"/>
  <c r="E66" i="13"/>
  <c r="Q81" i="31" l="1"/>
  <c r="O82" i="31"/>
  <c r="Q82" i="31" s="1"/>
  <c r="G67" i="13"/>
  <c r="D68" i="13" s="1"/>
  <c r="E67" i="13"/>
  <c r="R82" i="31" l="1"/>
  <c r="L46" i="2" s="1"/>
  <c r="L7" i="2" s="1"/>
  <c r="O83" i="31"/>
  <c r="G68" i="13"/>
  <c r="D69" i="13" s="1"/>
  <c r="E68" i="13"/>
  <c r="Q83" i="31" l="1"/>
  <c r="O84" i="31"/>
  <c r="E69" i="13"/>
  <c r="G69" i="13"/>
  <c r="D70" i="13" s="1"/>
  <c r="O85" i="31" l="1"/>
  <c r="Q84" i="31"/>
  <c r="G70" i="13"/>
  <c r="D71" i="13" s="1"/>
  <c r="E70" i="13"/>
  <c r="Q85" i="31" l="1"/>
  <c r="O86" i="31"/>
  <c r="G71" i="13"/>
  <c r="D72" i="13" s="1"/>
  <c r="E71" i="13"/>
  <c r="O87" i="31" l="1"/>
  <c r="Q86" i="31"/>
  <c r="G72" i="13"/>
  <c r="D73" i="13" s="1"/>
  <c r="E72" i="13"/>
  <c r="Q87" i="31" l="1"/>
  <c r="O88" i="31"/>
  <c r="E73" i="13"/>
  <c r="G73" i="13"/>
  <c r="D74" i="13" s="1"/>
  <c r="O89" i="31" l="1"/>
  <c r="Q88" i="31"/>
  <c r="G74" i="13"/>
  <c r="D75" i="13" s="1"/>
  <c r="E74" i="13"/>
  <c r="Q89" i="31" l="1"/>
  <c r="O90" i="31"/>
  <c r="G75" i="13"/>
  <c r="D76" i="13" s="1"/>
  <c r="E75" i="13"/>
  <c r="O91" i="31" l="1"/>
  <c r="Q90" i="31"/>
  <c r="G76" i="13"/>
  <c r="D77" i="13" s="1"/>
  <c r="E76" i="13"/>
  <c r="Q91" i="31" l="1"/>
  <c r="O92" i="31"/>
  <c r="E77" i="13"/>
  <c r="G77" i="13"/>
  <c r="D78" i="13" s="1"/>
  <c r="O93" i="31" l="1"/>
  <c r="Q92" i="31"/>
  <c r="G78" i="13"/>
  <c r="D79" i="13" s="1"/>
  <c r="E78" i="13"/>
  <c r="Q93" i="31" l="1"/>
  <c r="O94" i="31"/>
  <c r="Q94" i="31" s="1"/>
  <c r="G79" i="13"/>
  <c r="D80" i="13" s="1"/>
  <c r="E79" i="13"/>
  <c r="R94" i="31" l="1"/>
  <c r="M46" i="2" s="1"/>
  <c r="M7" i="2" s="1"/>
  <c r="O95" i="31"/>
  <c r="G80" i="13"/>
  <c r="D81" i="13" s="1"/>
  <c r="E80" i="13"/>
  <c r="Q95" i="31" l="1"/>
  <c r="O96" i="31"/>
  <c r="E81" i="13"/>
  <c r="G81" i="13"/>
  <c r="D82" i="13" s="1"/>
  <c r="Q96" i="31" l="1"/>
  <c r="O97" i="31"/>
  <c r="G82" i="13"/>
  <c r="D83" i="13" s="1"/>
  <c r="E82" i="13"/>
  <c r="O98" i="31" l="1"/>
  <c r="Q97" i="31"/>
  <c r="G83" i="13"/>
  <c r="D84" i="13" s="1"/>
  <c r="E83" i="13"/>
  <c r="Q98" i="31" l="1"/>
  <c r="O99" i="31"/>
  <c r="G84" i="13"/>
  <c r="D85" i="13" s="1"/>
  <c r="E84" i="13"/>
  <c r="O100" i="31" l="1"/>
  <c r="Q99" i="31"/>
  <c r="E85" i="13"/>
  <c r="G85" i="13"/>
  <c r="D86" i="13" s="1"/>
  <c r="Q100" i="31" l="1"/>
  <c r="O101" i="31"/>
  <c r="G86" i="13"/>
  <c r="D87" i="13" s="1"/>
  <c r="E86" i="13"/>
  <c r="O102" i="31" l="1"/>
  <c r="Q101" i="31"/>
  <c r="G87" i="13"/>
  <c r="D88" i="13" s="1"/>
  <c r="E87" i="13"/>
  <c r="Q102" i="31" l="1"/>
  <c r="O103" i="31"/>
  <c r="G88" i="13"/>
  <c r="D89" i="13" s="1"/>
  <c r="E88" i="13"/>
  <c r="O104" i="31" l="1"/>
  <c r="Q103" i="31"/>
  <c r="E89" i="13"/>
  <c r="G89" i="13"/>
  <c r="D90" i="13" s="1"/>
  <c r="Q104" i="31" l="1"/>
  <c r="O105" i="31"/>
  <c r="G90" i="13"/>
  <c r="D91" i="13" s="1"/>
  <c r="E90" i="13"/>
  <c r="Q105" i="31" l="1"/>
  <c r="O106" i="31"/>
  <c r="Q106" i="31" s="1"/>
  <c r="G91" i="13"/>
  <c r="D92" i="13" s="1"/>
  <c r="E91" i="13"/>
  <c r="R106" i="31" l="1"/>
  <c r="N46" i="2" s="1"/>
  <c r="N7" i="2" s="1"/>
  <c r="O107" i="31"/>
  <c r="G92" i="13"/>
  <c r="D93" i="13" s="1"/>
  <c r="E92" i="13"/>
  <c r="O108" i="31" l="1"/>
  <c r="Q107" i="31"/>
  <c r="E93" i="13"/>
  <c r="G93" i="13"/>
  <c r="D94" i="13" s="1"/>
  <c r="Q108" i="31" l="1"/>
  <c r="O109" i="31"/>
  <c r="G94" i="13"/>
  <c r="D95" i="13" s="1"/>
  <c r="E94" i="13"/>
  <c r="O110" i="31" l="1"/>
  <c r="Q109" i="31"/>
  <c r="G95" i="13"/>
  <c r="D96" i="13" s="1"/>
  <c r="E95" i="13"/>
  <c r="Q110" i="31" l="1"/>
  <c r="O111" i="31"/>
  <c r="G96" i="13"/>
  <c r="D97" i="13" s="1"/>
  <c r="E96" i="13"/>
  <c r="O112" i="31" l="1"/>
  <c r="Q111" i="31"/>
  <c r="E97" i="13"/>
  <c r="G97" i="13"/>
  <c r="D98" i="13" s="1"/>
  <c r="Q112" i="31" l="1"/>
  <c r="O113" i="31"/>
  <c r="G98" i="13"/>
  <c r="D99" i="13" s="1"/>
  <c r="E98" i="13"/>
  <c r="O114" i="31" l="1"/>
  <c r="Q113" i="31"/>
  <c r="G99" i="13"/>
  <c r="D100" i="13" s="1"/>
  <c r="E99" i="13"/>
  <c r="O115" i="31" l="1"/>
  <c r="Q114" i="31"/>
  <c r="G100" i="13"/>
  <c r="D101" i="13" s="1"/>
  <c r="E100" i="13"/>
  <c r="Q115" i="31" l="1"/>
  <c r="O116" i="31"/>
  <c r="E101" i="13"/>
  <c r="G101" i="13"/>
  <c r="D102" i="13" s="1"/>
  <c r="Q116" i="31" l="1"/>
  <c r="O117" i="31"/>
  <c r="G102" i="13"/>
  <c r="D103" i="13" s="1"/>
  <c r="E102" i="13"/>
  <c r="Q117" i="31" l="1"/>
  <c r="O118" i="31"/>
  <c r="Q118" i="31" s="1"/>
  <c r="G103" i="13"/>
  <c r="D104" i="13" s="1"/>
  <c r="E103" i="13"/>
  <c r="O119" i="31" l="1"/>
  <c r="R118" i="31"/>
  <c r="O46" i="2" s="1"/>
  <c r="O7" i="2" s="1"/>
  <c r="G104" i="13"/>
  <c r="D105" i="13" s="1"/>
  <c r="E104" i="13"/>
  <c r="Q119" i="31" l="1"/>
  <c r="O120" i="31"/>
  <c r="E105" i="13"/>
  <c r="G105" i="13"/>
  <c r="D106" i="13" s="1"/>
  <c r="O121" i="31" l="1"/>
  <c r="Q120" i="31"/>
  <c r="G106" i="13"/>
  <c r="D107" i="13" s="1"/>
  <c r="E106" i="13"/>
  <c r="Q121" i="31" l="1"/>
  <c r="O122" i="31"/>
  <c r="G107" i="13"/>
  <c r="D108" i="13" s="1"/>
  <c r="E107" i="13"/>
  <c r="O123" i="31" l="1"/>
  <c r="Q122" i="31"/>
  <c r="G108" i="13"/>
  <c r="D109" i="13" s="1"/>
  <c r="E108" i="13"/>
  <c r="Q123" i="31" l="1"/>
  <c r="O124" i="31"/>
  <c r="E109" i="13"/>
  <c r="G109" i="13"/>
  <c r="D110" i="13" s="1"/>
  <c r="Q124" i="31" l="1"/>
  <c r="O125" i="31"/>
  <c r="G110" i="13"/>
  <c r="D111" i="13" s="1"/>
  <c r="E110" i="13"/>
  <c r="O126" i="31" l="1"/>
  <c r="Q125" i="31"/>
  <c r="G111" i="13"/>
  <c r="D112" i="13" s="1"/>
  <c r="E111" i="13"/>
  <c r="Q126" i="31" l="1"/>
  <c r="O127" i="31"/>
  <c r="G112" i="13"/>
  <c r="D113" i="13" s="1"/>
  <c r="E112" i="13"/>
  <c r="O128" i="31" l="1"/>
  <c r="Q127" i="31"/>
  <c r="E113" i="13"/>
  <c r="G113" i="13"/>
  <c r="D114" i="13" s="1"/>
  <c r="Q128" i="31" l="1"/>
  <c r="O129" i="31"/>
  <c r="G114" i="13"/>
  <c r="D115" i="13" s="1"/>
  <c r="E114" i="13"/>
  <c r="Q129" i="31" l="1"/>
  <c r="O130" i="31"/>
  <c r="Q130" i="31" s="1"/>
  <c r="G115" i="13"/>
  <c r="D116" i="13" s="1"/>
  <c r="E115" i="13"/>
  <c r="R130" i="31" l="1"/>
  <c r="P46" i="2" s="1"/>
  <c r="P7" i="2" s="1"/>
  <c r="O131" i="31"/>
  <c r="G116" i="13"/>
  <c r="D117" i="13" s="1"/>
  <c r="E116" i="13"/>
  <c r="Q131" i="31" l="1"/>
  <c r="O132" i="31"/>
  <c r="E117" i="13"/>
  <c r="G117" i="13"/>
  <c r="D118" i="13" s="1"/>
  <c r="Q132" i="31" l="1"/>
  <c r="O133" i="31"/>
  <c r="G118" i="13"/>
  <c r="D119" i="13" s="1"/>
  <c r="E118" i="13"/>
  <c r="Q133" i="31" l="1"/>
  <c r="O134" i="31"/>
  <c r="G119" i="13"/>
  <c r="D120" i="13" s="1"/>
  <c r="E119" i="13"/>
  <c r="Q134" i="31" l="1"/>
  <c r="O135" i="31"/>
  <c r="G120" i="13"/>
  <c r="D121" i="13" s="1"/>
  <c r="E120" i="13"/>
  <c r="Q135" i="31" l="1"/>
  <c r="O136" i="31"/>
  <c r="E121" i="13"/>
  <c r="G121" i="13"/>
  <c r="D122" i="13" s="1"/>
  <c r="Q136" i="31" l="1"/>
  <c r="O137" i="31"/>
  <c r="G122" i="13"/>
  <c r="D123" i="13" s="1"/>
  <c r="E122" i="13"/>
  <c r="Q137" i="31" l="1"/>
  <c r="O138" i="31"/>
  <c r="G123" i="13"/>
  <c r="D124" i="13" s="1"/>
  <c r="E123" i="13"/>
  <c r="Q138" i="31" l="1"/>
  <c r="O139" i="31"/>
  <c r="G124" i="13"/>
  <c r="D125" i="13" s="1"/>
  <c r="E124" i="13"/>
  <c r="Q139" i="31" l="1"/>
  <c r="O140" i="31"/>
  <c r="E125" i="13"/>
  <c r="G125" i="13"/>
  <c r="D126" i="13" s="1"/>
  <c r="O141" i="31" l="1"/>
  <c r="Q140" i="31"/>
  <c r="G126" i="13"/>
  <c r="D127" i="13" s="1"/>
  <c r="E126" i="13"/>
  <c r="Q141" i="31" l="1"/>
  <c r="O142" i="31"/>
  <c r="Q142" i="31" s="1"/>
  <c r="G127" i="13"/>
  <c r="D128" i="13" s="1"/>
  <c r="E127" i="13"/>
  <c r="R142" i="31" l="1"/>
  <c r="Q46" i="2" s="1"/>
  <c r="Q7" i="2" s="1"/>
  <c r="O143" i="31"/>
  <c r="G128" i="13"/>
  <c r="D129" i="13" s="1"/>
  <c r="E128" i="13"/>
  <c r="Q143" i="31" l="1"/>
  <c r="O144" i="31"/>
  <c r="E129" i="13"/>
  <c r="G129" i="13"/>
  <c r="D130" i="13" s="1"/>
  <c r="Q144" i="31" l="1"/>
  <c r="O145" i="31"/>
  <c r="G130" i="13"/>
  <c r="D131" i="13" s="1"/>
  <c r="E130" i="13"/>
  <c r="Q145" i="31" l="1"/>
  <c r="O146" i="31"/>
  <c r="G131" i="13"/>
  <c r="D132" i="13" s="1"/>
  <c r="E131" i="13"/>
  <c r="Q146" i="31" l="1"/>
  <c r="O147" i="31"/>
  <c r="G132" i="13"/>
  <c r="D133" i="13" s="1"/>
  <c r="E132" i="13"/>
  <c r="Q147" i="31" l="1"/>
  <c r="O148" i="31"/>
  <c r="E133" i="13"/>
  <c r="G133" i="13"/>
  <c r="D134" i="13" s="1"/>
  <c r="Q148" i="31" l="1"/>
  <c r="O149" i="31"/>
  <c r="G134" i="13"/>
  <c r="E134" i="13"/>
  <c r="Q149" i="31" l="1"/>
  <c r="O150" i="31"/>
  <c r="L80" i="2"/>
  <c r="M80" i="2"/>
  <c r="N80" i="2"/>
  <c r="O80" i="2"/>
  <c r="P80" i="2"/>
  <c r="Q80" i="2"/>
  <c r="Q150" i="31" l="1"/>
  <c r="O151" i="31"/>
  <c r="Q151" i="31" l="1"/>
  <c r="O152" i="31"/>
  <c r="N107" i="2"/>
  <c r="N108" i="2" s="1"/>
  <c r="N109" i="2"/>
  <c r="Q152" i="31" l="1"/>
  <c r="O153" i="31"/>
  <c r="D24" i="27"/>
  <c r="Q153" i="31" l="1"/>
  <c r="O154" i="31"/>
  <c r="Q154" i="31" s="1"/>
  <c r="R154" i="31" s="1"/>
  <c r="R46" i="2" s="1"/>
  <c r="R7" i="2" s="1"/>
  <c r="D25" i="27"/>
  <c r="F40" i="8" s="1"/>
  <c r="K40" i="8"/>
  <c r="G40" i="8" l="1"/>
  <c r="I8" i="2" l="1"/>
  <c r="I9" i="2" s="1"/>
  <c r="J8" i="2" l="1"/>
  <c r="J9" i="2" s="1"/>
  <c r="I13" i="2"/>
  <c r="I10" i="2"/>
  <c r="I11" i="2"/>
  <c r="I12" i="2"/>
  <c r="I14" i="2" l="1"/>
  <c r="I16" i="2" s="1"/>
  <c r="J13" i="2"/>
  <c r="J10" i="2"/>
  <c r="J12" i="2"/>
  <c r="J11" i="2"/>
  <c r="K8" i="2"/>
  <c r="K9" i="2" s="1"/>
  <c r="J14" i="2" l="1"/>
  <c r="J16" i="2" s="1"/>
  <c r="K10" i="2"/>
  <c r="K11" i="2"/>
  <c r="K13" i="2"/>
  <c r="K12" i="2"/>
  <c r="L8" i="2"/>
  <c r="L9" i="2" s="1"/>
  <c r="K14" i="2" l="1"/>
  <c r="K16" i="2" s="1"/>
  <c r="L13" i="2"/>
  <c r="L10" i="2"/>
  <c r="L11" i="2"/>
  <c r="L12" i="2"/>
  <c r="M8" i="2"/>
  <c r="M9" i="2" s="1"/>
  <c r="L14" i="2" l="1"/>
  <c r="L16" i="2" s="1"/>
  <c r="N8" i="2"/>
  <c r="N9" i="2" s="1"/>
  <c r="M12" i="2"/>
  <c r="M13" i="2"/>
  <c r="M10" i="2"/>
  <c r="M11" i="2"/>
  <c r="M14" i="2" l="1"/>
  <c r="M16" i="2" s="1"/>
  <c r="N12" i="2"/>
  <c r="N10" i="2"/>
  <c r="N13" i="2"/>
  <c r="N11" i="2"/>
  <c r="O8" i="2"/>
  <c r="O9" i="2" s="1"/>
  <c r="N14" i="2" l="1"/>
  <c r="N16" i="2" s="1"/>
  <c r="O12" i="2"/>
  <c r="O10" i="2"/>
  <c r="O11" i="2"/>
  <c r="O13" i="2"/>
  <c r="P8" i="2"/>
  <c r="P9" i="2" s="1"/>
  <c r="O14" i="2" l="1"/>
  <c r="O16" i="2" s="1"/>
  <c r="P11" i="2"/>
  <c r="P12" i="2"/>
  <c r="P13" i="2"/>
  <c r="P10" i="2"/>
  <c r="Q8" i="2"/>
  <c r="Q9" i="2" s="1"/>
  <c r="P14" i="2" l="1"/>
  <c r="P16" i="2" s="1"/>
  <c r="S8" i="2"/>
  <c r="R8" i="2"/>
  <c r="R9" i="2" s="1"/>
  <c r="Q12" i="2"/>
  <c r="Q11" i="2"/>
  <c r="Q13" i="2"/>
  <c r="Q10" i="2"/>
  <c r="Q14" i="2" l="1"/>
  <c r="Q16" i="2" s="1"/>
  <c r="R11" i="2"/>
  <c r="R12" i="2"/>
  <c r="R13" i="2"/>
  <c r="R10" i="2"/>
  <c r="R14" i="2" l="1"/>
  <c r="R16" i="2" s="1"/>
  <c r="H20" i="2" l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H21" i="2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H30" i="2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H28" i="2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H29" i="2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H23" i="2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H32" i="2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H24" i="2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H22" i="2" l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H31" i="2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H19" i="2"/>
  <c r="G9" i="2"/>
  <c r="G14" i="2" s="1"/>
  <c r="H8" i="2"/>
  <c r="H9" i="2" s="1"/>
  <c r="H10" i="2" l="1"/>
  <c r="H12" i="2"/>
  <c r="H11" i="2"/>
  <c r="G35" i="2"/>
  <c r="H13" i="2"/>
  <c r="I19" i="2"/>
  <c r="H35" i="2"/>
  <c r="G16" i="2"/>
  <c r="G36" i="2" l="1"/>
  <c r="K38" i="8" s="1"/>
  <c r="G136" i="2" s="1"/>
  <c r="G137" i="2" s="1"/>
  <c r="G138" i="2" s="1"/>
  <c r="G139" i="2" s="1"/>
  <c r="I55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H14" i="2"/>
  <c r="H16" i="2" s="1"/>
  <c r="H36" i="2" s="1"/>
  <c r="J19" i="2"/>
  <c r="I35" i="2"/>
  <c r="I36" i="2" s="1"/>
  <c r="H37" i="2" l="1"/>
  <c r="H43" i="2"/>
  <c r="I42" i="2"/>
  <c r="H115" i="2"/>
  <c r="H124" i="2" s="1"/>
  <c r="H126" i="2" s="1"/>
  <c r="I37" i="2"/>
  <c r="H93" i="2"/>
  <c r="K19" i="2"/>
  <c r="J35" i="2"/>
  <c r="J36" i="2" s="1"/>
  <c r="I43" i="2"/>
  <c r="I61" i="2" l="1"/>
  <c r="I115" i="2"/>
  <c r="I124" i="2" s="1"/>
  <c r="I126" i="2" s="1"/>
  <c r="J42" i="2"/>
  <c r="J43" i="2"/>
  <c r="J37" i="2"/>
  <c r="I93" i="2"/>
  <c r="L19" i="2"/>
  <c r="K35" i="2"/>
  <c r="K36" i="2" s="1"/>
  <c r="I77" i="2" l="1"/>
  <c r="I63" i="2"/>
  <c r="J115" i="2"/>
  <c r="J124" i="2" s="1"/>
  <c r="J126" i="2" s="1"/>
  <c r="K37" i="2"/>
  <c r="K43" i="2"/>
  <c r="K42" i="2"/>
  <c r="M19" i="2"/>
  <c r="L35" i="2"/>
  <c r="L36" i="2" s="1"/>
  <c r="J61" i="2"/>
  <c r="J93" i="2" l="1"/>
  <c r="J77" i="2"/>
  <c r="J63" i="2"/>
  <c r="L37" i="2"/>
  <c r="L42" i="2"/>
  <c r="L43" i="2"/>
  <c r="K115" i="2"/>
  <c r="K124" i="2" s="1"/>
  <c r="K126" i="2" s="1"/>
  <c r="K93" i="2"/>
  <c r="N19" i="2"/>
  <c r="M35" i="2"/>
  <c r="M36" i="2" s="1"/>
  <c r="K61" i="2"/>
  <c r="K63" i="2" l="1"/>
  <c r="K77" i="2"/>
  <c r="L115" i="2"/>
  <c r="L124" i="2" s="1"/>
  <c r="L126" i="2" s="1"/>
  <c r="L93" i="2"/>
  <c r="M43" i="2"/>
  <c r="M37" i="2"/>
  <c r="M42" i="2"/>
  <c r="O19" i="2"/>
  <c r="N35" i="2"/>
  <c r="N36" i="2" s="1"/>
  <c r="L61" i="2"/>
  <c r="L77" i="2" l="1"/>
  <c r="P19" i="2"/>
  <c r="O35" i="2"/>
  <c r="O36" i="2" s="1"/>
  <c r="M61" i="2"/>
  <c r="M115" i="2"/>
  <c r="M124" i="2" s="1"/>
  <c r="M126" i="2" s="1"/>
  <c r="N42" i="2"/>
  <c r="N43" i="2"/>
  <c r="N37" i="2"/>
  <c r="M93" i="2" l="1"/>
  <c r="M63" i="2"/>
  <c r="M77" i="2"/>
  <c r="N61" i="2"/>
  <c r="O42" i="2"/>
  <c r="O43" i="2"/>
  <c r="O37" i="2"/>
  <c r="N115" i="2"/>
  <c r="N124" i="2" s="1"/>
  <c r="N126" i="2" s="1"/>
  <c r="N93" i="2"/>
  <c r="Q19" i="2"/>
  <c r="P35" i="2"/>
  <c r="P36" i="2" s="1"/>
  <c r="N77" i="2" l="1"/>
  <c r="N63" i="2"/>
  <c r="O115" i="2"/>
  <c r="O124" i="2" s="1"/>
  <c r="O126" i="2" s="1"/>
  <c r="P42" i="2"/>
  <c r="P37" i="2"/>
  <c r="P43" i="2"/>
  <c r="O61" i="2"/>
  <c r="R19" i="2"/>
  <c r="R35" i="2" s="1"/>
  <c r="R36" i="2" s="1"/>
  <c r="Q35" i="2"/>
  <c r="Q36" i="2" s="1"/>
  <c r="R43" i="2" l="1"/>
  <c r="O93" i="2"/>
  <c r="P61" i="2"/>
  <c r="Q43" i="2"/>
  <c r="Q42" i="2"/>
  <c r="Q37" i="2"/>
  <c r="P115" i="2"/>
  <c r="P124" i="2" s="1"/>
  <c r="P126" i="2" s="1"/>
  <c r="R42" i="2"/>
  <c r="R37" i="2"/>
  <c r="Q115" i="2"/>
  <c r="Q124" i="2" s="1"/>
  <c r="Q93" i="2"/>
  <c r="K62" i="8" s="1"/>
  <c r="O63" i="2"/>
  <c r="O77" i="2"/>
  <c r="Q126" i="2" l="1"/>
  <c r="P93" i="2"/>
  <c r="P63" i="2"/>
  <c r="P77" i="2"/>
  <c r="H92" i="2"/>
  <c r="F62" i="8"/>
  <c r="G62" i="8"/>
  <c r="K64" i="8"/>
  <c r="K65" i="8"/>
  <c r="Q61" i="2"/>
  <c r="K63" i="8" l="1"/>
  <c r="I92" i="2"/>
  <c r="H94" i="2"/>
  <c r="H95" i="2" s="1"/>
  <c r="Q77" i="2"/>
  <c r="O92" i="2" l="1"/>
  <c r="O94" i="2" s="1"/>
  <c r="O95" i="2" s="1"/>
  <c r="L92" i="2"/>
  <c r="L94" i="2" s="1"/>
  <c r="L95" i="2" s="1"/>
  <c r="L62" i="2" s="1"/>
  <c r="L63" i="2" s="1"/>
  <c r="P92" i="2"/>
  <c r="P94" i="2" s="1"/>
  <c r="P95" i="2" s="1"/>
  <c r="M92" i="2"/>
  <c r="M94" i="2" s="1"/>
  <c r="M95" i="2" s="1"/>
  <c r="J92" i="2"/>
  <c r="J94" i="2" s="1"/>
  <c r="J95" i="2" s="1"/>
  <c r="N92" i="2"/>
  <c r="N94" i="2" s="1"/>
  <c r="N95" i="2" s="1"/>
  <c r="Q92" i="2"/>
  <c r="Q94" i="2" s="1"/>
  <c r="Q95" i="2" s="1"/>
  <c r="K92" i="2"/>
  <c r="K94" i="2" s="1"/>
  <c r="K95" i="2" s="1"/>
  <c r="I94" i="2"/>
  <c r="I95" i="2" s="1"/>
  <c r="Q62" i="2" l="1"/>
  <c r="Q63" i="2" s="1"/>
  <c r="L68" i="2" l="1"/>
  <c r="L70" i="2"/>
  <c r="L67" i="2"/>
  <c r="L69" i="2" l="1"/>
  <c r="L106" i="2" l="1"/>
  <c r="L107" i="2" l="1"/>
  <c r="L108" i="2" s="1"/>
  <c r="L109" i="2"/>
  <c r="D5" i="26" l="1"/>
  <c r="F38" i="8"/>
  <c r="G38" i="8"/>
  <c r="F57" i="8"/>
  <c r="G57" i="8"/>
  <c r="I57" i="8"/>
  <c r="D5" i="27"/>
  <c r="E15" i="27" s="1"/>
  <c r="E12" i="27" l="1"/>
  <c r="E11" i="27"/>
  <c r="E10" i="27"/>
  <c r="E22" i="27"/>
  <c r="E20" i="27"/>
  <c r="E18" i="27"/>
  <c r="E19" i="27"/>
  <c r="E14" i="27"/>
  <c r="E21" i="27"/>
  <c r="E13" i="27"/>
  <c r="E17" i="27"/>
  <c r="E9" i="27"/>
  <c r="E24" i="27"/>
  <c r="E16" i="27"/>
  <c r="E23" i="27"/>
  <c r="D10" i="26"/>
  <c r="D18" i="26"/>
  <c r="D11" i="26"/>
  <c r="D19" i="26"/>
  <c r="D12" i="26"/>
  <c r="D20" i="26"/>
  <c r="D13" i="26"/>
  <c r="D21" i="26"/>
  <c r="D14" i="26"/>
  <c r="D22" i="26"/>
  <c r="D15" i="26"/>
  <c r="D23" i="26"/>
  <c r="D16" i="26"/>
  <c r="D17" i="26"/>
  <c r="D9" i="26"/>
  <c r="D24" i="26" l="1"/>
  <c r="D25" i="26" l="1"/>
  <c r="F39" i="8" s="1"/>
  <c r="E24" i="26"/>
  <c r="K39" i="8"/>
  <c r="G63" i="2" l="1"/>
  <c r="G39" i="8"/>
  <c r="K46" i="8"/>
  <c r="K32" i="8" s="1"/>
  <c r="N8" i="13" l="1"/>
  <c r="K52" i="8"/>
  <c r="I72" i="2"/>
  <c r="Q72" i="2"/>
  <c r="O73" i="2"/>
  <c r="J73" i="2"/>
  <c r="K73" i="2"/>
  <c r="J72" i="2"/>
  <c r="P73" i="2"/>
  <c r="L72" i="2"/>
  <c r="N72" i="2"/>
  <c r="L73" i="2"/>
  <c r="K72" i="2"/>
  <c r="I73" i="2"/>
  <c r="Q73" i="2"/>
  <c r="Q67" i="2"/>
  <c r="M72" i="2"/>
  <c r="O72" i="2"/>
  <c r="M73" i="2"/>
  <c r="P72" i="2"/>
  <c r="N73" i="2"/>
  <c r="H72" i="2"/>
  <c r="K53" i="8" l="1"/>
  <c r="K41" i="8"/>
  <c r="N11" i="13"/>
  <c r="L15" i="13"/>
  <c r="N12" i="13" l="1"/>
  <c r="M15" i="13"/>
  <c r="N15" i="13" s="1"/>
  <c r="O15" i="13" s="1"/>
  <c r="L16" i="13" s="1"/>
  <c r="F41" i="8"/>
  <c r="G41" i="8"/>
  <c r="K42" i="8"/>
  <c r="M16" i="13" l="1"/>
  <c r="N16" i="13" s="1"/>
  <c r="O16" i="13" s="1"/>
  <c r="L17" i="13" s="1"/>
  <c r="F42" i="8"/>
  <c r="G42" i="8"/>
  <c r="K33" i="8"/>
  <c r="G101" i="2" l="1"/>
  <c r="Q106" i="2"/>
  <c r="K34" i="8"/>
  <c r="M17" i="13"/>
  <c r="N17" i="13" s="1"/>
  <c r="O17" i="13" s="1"/>
  <c r="L18" i="13" s="1"/>
  <c r="M18" i="13" l="1"/>
  <c r="N18" i="13" s="1"/>
  <c r="O18" i="13" s="1"/>
  <c r="L19" i="13" s="1"/>
  <c r="M34" i="8"/>
  <c r="K35" i="8"/>
  <c r="G32" i="8"/>
  <c r="G33" i="8"/>
  <c r="M19" i="13" l="1"/>
  <c r="N19" i="13" s="1"/>
  <c r="O19" i="13" s="1"/>
  <c r="L20" i="13" s="1"/>
  <c r="G34" i="8"/>
  <c r="M20" i="13" l="1"/>
  <c r="N20" i="13" s="1"/>
  <c r="O20" i="13" s="1"/>
  <c r="L21" i="13" s="1"/>
  <c r="M21" i="13" l="1"/>
  <c r="N21" i="13" s="1"/>
  <c r="O21" i="13" s="1"/>
  <c r="L22" i="13" s="1"/>
  <c r="M22" i="13" l="1"/>
  <c r="N22" i="13" s="1"/>
  <c r="O22" i="13" s="1"/>
  <c r="L23" i="13" s="1"/>
  <c r="M23" i="13" l="1"/>
  <c r="N23" i="13" s="1"/>
  <c r="O23" i="13" s="1"/>
  <c r="L24" i="13" s="1"/>
  <c r="M24" i="13" l="1"/>
  <c r="N24" i="13" s="1"/>
  <c r="O24" i="13" s="1"/>
  <c r="L25" i="13" s="1"/>
  <c r="M25" i="13" l="1"/>
  <c r="N25" i="13" s="1"/>
  <c r="O25" i="13" s="1"/>
  <c r="L26" i="13" s="1"/>
  <c r="M26" i="13" l="1"/>
  <c r="N26" i="13" s="1"/>
  <c r="O26" i="13" s="1"/>
  <c r="L27" i="13" l="1"/>
  <c r="H96" i="2"/>
  <c r="H97" i="2" s="1"/>
  <c r="M27" i="13" l="1"/>
  <c r="N27" i="13" l="1"/>
  <c r="O27" i="13" l="1"/>
  <c r="L28" i="13" s="1"/>
  <c r="M28" i="13" l="1"/>
  <c r="N28" i="13" l="1"/>
  <c r="O28" i="13" l="1"/>
  <c r="L29" i="13" s="1"/>
  <c r="M29" i="13" l="1"/>
  <c r="N29" i="13" l="1"/>
  <c r="O29" i="13" l="1"/>
  <c r="L30" i="13" s="1"/>
  <c r="M30" i="13" l="1"/>
  <c r="N30" i="13" l="1"/>
  <c r="O30" i="13" l="1"/>
  <c r="L31" i="13" s="1"/>
  <c r="M31" i="13" l="1"/>
  <c r="N31" i="13" l="1"/>
  <c r="O31" i="13" l="1"/>
  <c r="L32" i="13" s="1"/>
  <c r="M32" i="13" l="1"/>
  <c r="N32" i="13" s="1"/>
  <c r="O32" i="13" s="1"/>
  <c r="L33" i="13" s="1"/>
  <c r="M33" i="13" l="1"/>
  <c r="N33" i="13" s="1"/>
  <c r="O33" i="13" s="1"/>
  <c r="L34" i="13" s="1"/>
  <c r="M34" i="13" l="1"/>
  <c r="N34" i="13" s="1"/>
  <c r="O34" i="13" s="1"/>
  <c r="L35" i="13" s="1"/>
  <c r="M35" i="13" l="1"/>
  <c r="N35" i="13" s="1"/>
  <c r="O35" i="13" s="1"/>
  <c r="L36" i="13" s="1"/>
  <c r="M36" i="13" l="1"/>
  <c r="N36" i="13" s="1"/>
  <c r="O36" i="13" s="1"/>
  <c r="L37" i="13" s="1"/>
  <c r="M37" i="13" l="1"/>
  <c r="N37" i="13" s="1"/>
  <c r="O37" i="13" s="1"/>
  <c r="L38" i="13" s="1"/>
  <c r="M38" i="13" l="1"/>
  <c r="N38" i="13" s="1"/>
  <c r="O38" i="13" s="1"/>
  <c r="L39" i="13" l="1"/>
  <c r="I96" i="2"/>
  <c r="I97" i="2" s="1"/>
  <c r="M39" i="13" l="1"/>
  <c r="N39" i="13" l="1"/>
  <c r="O39" i="13" l="1"/>
  <c r="L40" i="13" s="1"/>
  <c r="M40" i="13" l="1"/>
  <c r="N40" i="13" l="1"/>
  <c r="O40" i="13" l="1"/>
  <c r="L41" i="13" s="1"/>
  <c r="M41" i="13" l="1"/>
  <c r="N41" i="13" l="1"/>
  <c r="O41" i="13" l="1"/>
  <c r="L42" i="13" s="1"/>
  <c r="M42" i="13" l="1"/>
  <c r="N42" i="13" l="1"/>
  <c r="O42" i="13" l="1"/>
  <c r="L43" i="13" s="1"/>
  <c r="M43" i="13" l="1"/>
  <c r="N43" i="13" l="1"/>
  <c r="O43" i="13" l="1"/>
  <c r="L44" i="13" s="1"/>
  <c r="M44" i="13" l="1"/>
  <c r="N44" i="13" s="1"/>
  <c r="O44" i="13" s="1"/>
  <c r="L45" i="13" s="1"/>
  <c r="M45" i="13" l="1"/>
  <c r="N45" i="13" s="1"/>
  <c r="O45" i="13" s="1"/>
  <c r="L46" i="13" s="1"/>
  <c r="M46" i="13" l="1"/>
  <c r="N46" i="13" s="1"/>
  <c r="O46" i="13" s="1"/>
  <c r="L47" i="13" s="1"/>
  <c r="M47" i="13" l="1"/>
  <c r="N47" i="13" s="1"/>
  <c r="O47" i="13" s="1"/>
  <c r="L48" i="13" s="1"/>
  <c r="M48" i="13" l="1"/>
  <c r="N48" i="13" s="1"/>
  <c r="O48" i="13" s="1"/>
  <c r="L49" i="13" s="1"/>
  <c r="M49" i="13" l="1"/>
  <c r="N49" i="13" s="1"/>
  <c r="O49" i="13"/>
  <c r="L50" i="13" s="1"/>
  <c r="M50" i="13" l="1"/>
  <c r="N50" i="13" s="1"/>
  <c r="O50" i="13" s="1"/>
  <c r="L51" i="13" l="1"/>
  <c r="J96" i="2"/>
  <c r="J97" i="2" s="1"/>
  <c r="M51" i="13" l="1"/>
  <c r="N51" i="13" l="1"/>
  <c r="O51" i="13" l="1"/>
  <c r="L52" i="13" s="1"/>
  <c r="M52" i="13" l="1"/>
  <c r="N52" i="13" l="1"/>
  <c r="O52" i="13" l="1"/>
  <c r="L53" i="13" s="1"/>
  <c r="M53" i="13" l="1"/>
  <c r="N53" i="13" l="1"/>
  <c r="O53" i="13" l="1"/>
  <c r="L54" i="13" s="1"/>
  <c r="M54" i="13" l="1"/>
  <c r="N54" i="13" l="1"/>
  <c r="O54" i="13" l="1"/>
  <c r="L55" i="13" s="1"/>
  <c r="M55" i="13" l="1"/>
  <c r="N55" i="13" l="1"/>
  <c r="O55" i="13" l="1"/>
  <c r="L56" i="13" s="1"/>
  <c r="M56" i="13" l="1"/>
  <c r="N56" i="13" s="1"/>
  <c r="O56" i="13" s="1"/>
  <c r="L57" i="13" s="1"/>
  <c r="M57" i="13" l="1"/>
  <c r="N57" i="13" s="1"/>
  <c r="O57" i="13" s="1"/>
  <c r="L58" i="13" s="1"/>
  <c r="M58" i="13" l="1"/>
  <c r="N58" i="13" s="1"/>
  <c r="O58" i="13" s="1"/>
  <c r="L59" i="13" s="1"/>
  <c r="M59" i="13" l="1"/>
  <c r="N59" i="13" s="1"/>
  <c r="O59" i="13" s="1"/>
  <c r="L60" i="13" s="1"/>
  <c r="M60" i="13" l="1"/>
  <c r="N60" i="13" s="1"/>
  <c r="O60" i="13" s="1"/>
  <c r="L61" i="13" s="1"/>
  <c r="M61" i="13" l="1"/>
  <c r="N61" i="13" s="1"/>
  <c r="O61" i="13" s="1"/>
  <c r="L62" i="13" s="1"/>
  <c r="M62" i="13" l="1"/>
  <c r="N62" i="13" s="1"/>
  <c r="O62" i="13" s="1"/>
  <c r="L63" i="13" l="1"/>
  <c r="K96" i="2"/>
  <c r="K97" i="2" s="1"/>
  <c r="M63" i="13" l="1"/>
  <c r="N63" i="13" l="1"/>
  <c r="O63" i="13" l="1"/>
  <c r="L64" i="13" s="1"/>
  <c r="M64" i="13" l="1"/>
  <c r="N64" i="13" l="1"/>
  <c r="O64" i="13" l="1"/>
  <c r="L65" i="13" s="1"/>
  <c r="M65" i="13" l="1"/>
  <c r="N65" i="13" l="1"/>
  <c r="O65" i="13" l="1"/>
  <c r="L66" i="13" s="1"/>
  <c r="M66" i="13" l="1"/>
  <c r="N66" i="13" l="1"/>
  <c r="O66" i="13" l="1"/>
  <c r="L67" i="13" s="1"/>
  <c r="M67" i="13" l="1"/>
  <c r="N67" i="13" l="1"/>
  <c r="O67" i="13" l="1"/>
  <c r="L68" i="13" s="1"/>
  <c r="M68" i="13" l="1"/>
  <c r="N68" i="13" s="1"/>
  <c r="O68" i="13" s="1"/>
  <c r="L69" i="13" s="1"/>
  <c r="M69" i="13" l="1"/>
  <c r="N69" i="13" s="1"/>
  <c r="O69" i="13" s="1"/>
  <c r="L70" i="13" s="1"/>
  <c r="M70" i="13" l="1"/>
  <c r="N70" i="13" s="1"/>
  <c r="O70" i="13" s="1"/>
  <c r="L71" i="13" s="1"/>
  <c r="M71" i="13" l="1"/>
  <c r="N71" i="13" s="1"/>
  <c r="O71" i="13" s="1"/>
  <c r="L72" i="13" s="1"/>
  <c r="M72" i="13" l="1"/>
  <c r="N72" i="13" s="1"/>
  <c r="O72" i="13" s="1"/>
  <c r="L73" i="13" s="1"/>
  <c r="M73" i="13" l="1"/>
  <c r="N73" i="13" s="1"/>
  <c r="O73" i="13"/>
  <c r="L74" i="13" s="1"/>
  <c r="M74" i="13" l="1"/>
  <c r="N74" i="13" s="1"/>
  <c r="O74" i="13" s="1"/>
  <c r="L75" i="13" l="1"/>
  <c r="L96" i="2"/>
  <c r="L97" i="2" s="1"/>
  <c r="M75" i="13" l="1"/>
  <c r="N75" i="13" l="1"/>
  <c r="O75" i="13" l="1"/>
  <c r="L76" i="13" s="1"/>
  <c r="M76" i="13" l="1"/>
  <c r="N76" i="13" l="1"/>
  <c r="O76" i="13" l="1"/>
  <c r="L77" i="13" s="1"/>
  <c r="M77" i="13" l="1"/>
  <c r="N77" i="13" l="1"/>
  <c r="O77" i="13" l="1"/>
  <c r="L78" i="13" s="1"/>
  <c r="M78" i="13" l="1"/>
  <c r="N78" i="13" l="1"/>
  <c r="O78" i="13" l="1"/>
  <c r="L79" i="13" s="1"/>
  <c r="M79" i="13" l="1"/>
  <c r="N79" i="13" l="1"/>
  <c r="O79" i="13" l="1"/>
  <c r="L80" i="13" s="1"/>
  <c r="M80" i="13" l="1"/>
  <c r="N80" i="13" s="1"/>
  <c r="O80" i="13" s="1"/>
  <c r="L81" i="13" s="1"/>
  <c r="M81" i="13" l="1"/>
  <c r="N81" i="13" s="1"/>
  <c r="O81" i="13" s="1"/>
  <c r="L82" i="13" s="1"/>
  <c r="M82" i="13" l="1"/>
  <c r="N82" i="13" s="1"/>
  <c r="O82" i="13" s="1"/>
  <c r="L83" i="13" s="1"/>
  <c r="M83" i="13" l="1"/>
  <c r="N83" i="13" s="1"/>
  <c r="O83" i="13" s="1"/>
  <c r="L84" i="13" s="1"/>
  <c r="M84" i="13" l="1"/>
  <c r="N84" i="13" s="1"/>
  <c r="O84" i="13" s="1"/>
  <c r="L85" i="13" s="1"/>
  <c r="M85" i="13" l="1"/>
  <c r="N85" i="13" s="1"/>
  <c r="O85" i="13" s="1"/>
  <c r="L86" i="13" s="1"/>
  <c r="M86" i="13" l="1"/>
  <c r="N86" i="13" s="1"/>
  <c r="O86" i="13" s="1"/>
  <c r="L87" i="13" l="1"/>
  <c r="M96" i="2"/>
  <c r="M97" i="2" s="1"/>
  <c r="M87" i="13" l="1"/>
  <c r="N87" i="13" l="1"/>
  <c r="O87" i="13" l="1"/>
  <c r="L88" i="13" s="1"/>
  <c r="M88" i="13" l="1"/>
  <c r="N88" i="13" l="1"/>
  <c r="O88" i="13" l="1"/>
  <c r="L89" i="13" s="1"/>
  <c r="M89" i="13" l="1"/>
  <c r="N89" i="13" l="1"/>
  <c r="O89" i="13" l="1"/>
  <c r="L90" i="13" s="1"/>
  <c r="M90" i="13" l="1"/>
  <c r="N90" i="13" l="1"/>
  <c r="O90" i="13" l="1"/>
  <c r="L91" i="13" s="1"/>
  <c r="M91" i="13" l="1"/>
  <c r="N91" i="13" l="1"/>
  <c r="O91" i="13" l="1"/>
  <c r="L92" i="13" s="1"/>
  <c r="M92" i="13" l="1"/>
  <c r="N92" i="13" s="1"/>
  <c r="O92" i="13" s="1"/>
  <c r="L93" i="13" s="1"/>
  <c r="M93" i="13" l="1"/>
  <c r="N93" i="13" s="1"/>
  <c r="O93" i="13" s="1"/>
  <c r="L94" i="13" s="1"/>
  <c r="M94" i="13" l="1"/>
  <c r="N94" i="13" s="1"/>
  <c r="O94" i="13" s="1"/>
  <c r="L95" i="13" s="1"/>
  <c r="M95" i="13" l="1"/>
  <c r="N95" i="13" s="1"/>
  <c r="O95" i="13" s="1"/>
  <c r="L96" i="13" s="1"/>
  <c r="M96" i="13" l="1"/>
  <c r="N96" i="13" s="1"/>
  <c r="O96" i="13" s="1"/>
  <c r="L97" i="13" s="1"/>
  <c r="M97" i="13" l="1"/>
  <c r="N97" i="13" s="1"/>
  <c r="O97" i="13" s="1"/>
  <c r="L98" i="13" s="1"/>
  <c r="M98" i="13" l="1"/>
  <c r="N98" i="13" s="1"/>
  <c r="O98" i="13" s="1"/>
  <c r="L99" i="13" l="1"/>
  <c r="N96" i="2"/>
  <c r="N97" i="2" s="1"/>
  <c r="M99" i="13" l="1"/>
  <c r="N99" i="13" l="1"/>
  <c r="O99" i="13" l="1"/>
  <c r="L100" i="13" s="1"/>
  <c r="M100" i="13" l="1"/>
  <c r="N100" i="13" l="1"/>
  <c r="O100" i="13" l="1"/>
  <c r="L101" i="13" s="1"/>
  <c r="M101" i="13" l="1"/>
  <c r="N101" i="13" l="1"/>
  <c r="O101" i="13" l="1"/>
  <c r="L102" i="13" s="1"/>
  <c r="M102" i="13" l="1"/>
  <c r="N102" i="13" l="1"/>
  <c r="O102" i="13" l="1"/>
  <c r="L103" i="13" s="1"/>
  <c r="M103" i="13" l="1"/>
  <c r="N103" i="13" l="1"/>
  <c r="O103" i="13" l="1"/>
  <c r="L104" i="13" s="1"/>
  <c r="M104" i="13" l="1"/>
  <c r="N104" i="13" s="1"/>
  <c r="O104" i="13" s="1"/>
  <c r="L105" i="13" s="1"/>
  <c r="M105" i="13" l="1"/>
  <c r="N105" i="13" s="1"/>
  <c r="O105" i="13" s="1"/>
  <c r="L106" i="13" s="1"/>
  <c r="M106" i="13" l="1"/>
  <c r="N106" i="13" s="1"/>
  <c r="O106" i="13" s="1"/>
  <c r="L107" i="13" s="1"/>
  <c r="M107" i="13" l="1"/>
  <c r="N107" i="13" s="1"/>
  <c r="O107" i="13" s="1"/>
  <c r="L108" i="13" s="1"/>
  <c r="M108" i="13" l="1"/>
  <c r="N108" i="13" s="1"/>
  <c r="O108" i="13" s="1"/>
  <c r="L109" i="13" s="1"/>
  <c r="M109" i="13" l="1"/>
  <c r="N109" i="13" s="1"/>
  <c r="O109" i="13" s="1"/>
  <c r="L110" i="13" s="1"/>
  <c r="M110" i="13" l="1"/>
  <c r="N110" i="13" s="1"/>
  <c r="O110" i="13" s="1"/>
  <c r="L111" i="13" l="1"/>
  <c r="O96" i="2"/>
  <c r="O97" i="2" s="1"/>
  <c r="M111" i="13" l="1"/>
  <c r="N111" i="13" l="1"/>
  <c r="O111" i="13" l="1"/>
  <c r="L112" i="13" s="1"/>
  <c r="M112" i="13" l="1"/>
  <c r="N112" i="13" l="1"/>
  <c r="O112" i="13" l="1"/>
  <c r="L113" i="13" s="1"/>
  <c r="M113" i="13" l="1"/>
  <c r="N113" i="13" l="1"/>
  <c r="O113" i="13" l="1"/>
  <c r="L114" i="13" s="1"/>
  <c r="M114" i="13" l="1"/>
  <c r="N114" i="13" l="1"/>
  <c r="O114" i="13" l="1"/>
  <c r="L115" i="13" s="1"/>
  <c r="M115" i="13" l="1"/>
  <c r="N115" i="13" l="1"/>
  <c r="O115" i="13" l="1"/>
  <c r="L116" i="13" s="1"/>
  <c r="M116" i="13" l="1"/>
  <c r="N116" i="13" s="1"/>
  <c r="O116" i="13" s="1"/>
  <c r="L117" i="13" s="1"/>
  <c r="M117" i="13" l="1"/>
  <c r="N117" i="13" s="1"/>
  <c r="O117" i="13" s="1"/>
  <c r="L118" i="13" s="1"/>
  <c r="M118" i="13" l="1"/>
  <c r="N118" i="13" s="1"/>
  <c r="O118" i="13" s="1"/>
  <c r="L119" i="13" s="1"/>
  <c r="M119" i="13" l="1"/>
  <c r="N119" i="13" s="1"/>
  <c r="O119" i="13" s="1"/>
  <c r="L120" i="13" s="1"/>
  <c r="M120" i="13" l="1"/>
  <c r="N120" i="13" s="1"/>
  <c r="O120" i="13" s="1"/>
  <c r="L121" i="13" s="1"/>
  <c r="M121" i="13" l="1"/>
  <c r="N121" i="13" s="1"/>
  <c r="O121" i="13" s="1"/>
  <c r="L122" i="13" s="1"/>
  <c r="M122" i="13" l="1"/>
  <c r="N122" i="13" s="1"/>
  <c r="O122" i="13" s="1"/>
  <c r="L123" i="13" l="1"/>
  <c r="P96" i="2"/>
  <c r="P97" i="2" s="1"/>
  <c r="M123" i="13" l="1"/>
  <c r="N123" i="13" l="1"/>
  <c r="O123" i="13" l="1"/>
  <c r="L124" i="13" s="1"/>
  <c r="M124" i="13" l="1"/>
  <c r="N124" i="13" l="1"/>
  <c r="O124" i="13" l="1"/>
  <c r="L125" i="13" s="1"/>
  <c r="M125" i="13" l="1"/>
  <c r="N125" i="13" l="1"/>
  <c r="O125" i="13" l="1"/>
  <c r="L126" i="13" s="1"/>
  <c r="M126" i="13" l="1"/>
  <c r="N126" i="13" l="1"/>
  <c r="O126" i="13" l="1"/>
  <c r="L127" i="13" s="1"/>
  <c r="M127" i="13" l="1"/>
  <c r="N127" i="13" l="1"/>
  <c r="O127" i="13" l="1"/>
  <c r="L128" i="13" s="1"/>
  <c r="M128" i="13" l="1"/>
  <c r="N128" i="13" s="1"/>
  <c r="O128" i="13" s="1"/>
  <c r="L129" i="13" s="1"/>
  <c r="M129" i="13" l="1"/>
  <c r="N129" i="13" s="1"/>
  <c r="O129" i="13" s="1"/>
  <c r="L130" i="13" s="1"/>
  <c r="M130" i="13" l="1"/>
  <c r="N130" i="13" s="1"/>
  <c r="O130" i="13" s="1"/>
  <c r="L131" i="13" s="1"/>
  <c r="M131" i="13" l="1"/>
  <c r="N131" i="13" s="1"/>
  <c r="O131" i="13" s="1"/>
  <c r="L132" i="13" s="1"/>
  <c r="M132" i="13" l="1"/>
  <c r="N132" i="13" s="1"/>
  <c r="O132" i="13" s="1"/>
  <c r="L133" i="13" s="1"/>
  <c r="M133" i="13" l="1"/>
  <c r="N133" i="13" s="1"/>
  <c r="O133" i="13" s="1"/>
  <c r="L134" i="13" s="1"/>
  <c r="M134" i="13" l="1"/>
  <c r="N134" i="13" s="1"/>
  <c r="O134" i="13" s="1"/>
  <c r="L135" i="13" l="1"/>
  <c r="Q96" i="2"/>
  <c r="Q97" i="2" l="1"/>
  <c r="K66" i="8"/>
  <c r="K67" i="8" s="1"/>
  <c r="M135" i="13"/>
  <c r="N135" i="13" s="1"/>
  <c r="O135" i="13" s="1"/>
  <c r="L136" i="13" s="1"/>
  <c r="M136" i="13" l="1"/>
  <c r="N136" i="13" s="1"/>
  <c r="O136" i="13" s="1"/>
  <c r="L137" i="13" s="1"/>
  <c r="M137" i="13" l="1"/>
  <c r="N137" i="13" s="1"/>
  <c r="O137" i="13" s="1"/>
  <c r="L138" i="13" s="1"/>
  <c r="M138" i="13" l="1"/>
  <c r="N138" i="13" s="1"/>
  <c r="O138" i="13" s="1"/>
  <c r="L139" i="13" s="1"/>
  <c r="M139" i="13" l="1"/>
  <c r="N139" i="13" s="1"/>
  <c r="O139" i="13" s="1"/>
  <c r="L140" i="13" s="1"/>
  <c r="M140" i="13" l="1"/>
  <c r="N140" i="13" s="1"/>
  <c r="O140" i="13" s="1"/>
  <c r="L141" i="13" s="1"/>
  <c r="M141" i="13" l="1"/>
  <c r="N141" i="13" s="1"/>
  <c r="O141" i="13" s="1"/>
  <c r="L142" i="13" s="1"/>
  <c r="M142" i="13" l="1"/>
  <c r="N142" i="13" s="1"/>
  <c r="O142" i="13" s="1"/>
  <c r="L143" i="13" s="1"/>
  <c r="M143" i="13" l="1"/>
  <c r="N143" i="13" s="1"/>
  <c r="O143" i="13" s="1"/>
  <c r="L144" i="13" s="1"/>
  <c r="M144" i="13" l="1"/>
  <c r="N144" i="13" s="1"/>
  <c r="O144" i="13" s="1"/>
  <c r="L145" i="13" s="1"/>
  <c r="M145" i="13" l="1"/>
  <c r="N145" i="13" s="1"/>
  <c r="O145" i="13" s="1"/>
  <c r="L146" i="13" s="1"/>
  <c r="M146" i="13" l="1"/>
  <c r="N146" i="13" s="1"/>
  <c r="O146" i="13" s="1"/>
  <c r="L147" i="13" s="1"/>
  <c r="M147" i="13" l="1"/>
  <c r="N147" i="13" s="1"/>
  <c r="O147" i="13" s="1"/>
  <c r="L148" i="13" s="1"/>
  <c r="M148" i="13" l="1"/>
  <c r="N148" i="13" s="1"/>
  <c r="O148" i="13" s="1"/>
  <c r="L149" i="13" s="1"/>
  <c r="M149" i="13" l="1"/>
  <c r="N149" i="13" s="1"/>
  <c r="O149" i="13" s="1"/>
  <c r="L150" i="13" s="1"/>
  <c r="M150" i="13" l="1"/>
  <c r="N150" i="13" s="1"/>
  <c r="O150" i="13"/>
  <c r="L151" i="13" s="1"/>
  <c r="M151" i="13" l="1"/>
  <c r="N151" i="13" s="1"/>
  <c r="O151" i="13" s="1"/>
  <c r="L152" i="13" s="1"/>
  <c r="M152" i="13" l="1"/>
  <c r="N152" i="13" s="1"/>
  <c r="O152" i="13" s="1"/>
  <c r="L153" i="13" s="1"/>
  <c r="M153" i="13" l="1"/>
  <c r="N153" i="13" s="1"/>
  <c r="O153" i="13" s="1"/>
  <c r="L154" i="13" s="1"/>
  <c r="M154" i="13" l="1"/>
  <c r="N154" i="13" s="1"/>
  <c r="O154" i="13" s="1"/>
  <c r="L155" i="13" s="1"/>
  <c r="M155" i="13" l="1"/>
  <c r="N155" i="13" s="1"/>
  <c r="O155" i="13" s="1"/>
  <c r="L156" i="13" s="1"/>
  <c r="M156" i="13" l="1"/>
  <c r="N156" i="13" s="1"/>
  <c r="O156" i="13" s="1"/>
  <c r="L157" i="13" s="1"/>
  <c r="M157" i="13" l="1"/>
  <c r="N157" i="13" s="1"/>
  <c r="O157" i="13" s="1"/>
  <c r="L158" i="13" s="1"/>
  <c r="M158" i="13" l="1"/>
  <c r="N158" i="13" s="1"/>
  <c r="O158" i="13" s="1"/>
  <c r="L159" i="13" s="1"/>
  <c r="M159" i="13" l="1"/>
  <c r="N159" i="13" s="1"/>
  <c r="O159" i="13" s="1"/>
  <c r="L160" i="13" s="1"/>
  <c r="M160" i="13" l="1"/>
  <c r="N160" i="13" s="1"/>
  <c r="O160" i="13" s="1"/>
  <c r="L161" i="13" s="1"/>
  <c r="M161" i="13" l="1"/>
  <c r="N161" i="13" s="1"/>
  <c r="O161" i="13" s="1"/>
  <c r="L162" i="13" s="1"/>
  <c r="M162" i="13" l="1"/>
  <c r="N162" i="13" s="1"/>
  <c r="O162" i="13" s="1"/>
  <c r="L163" i="13" s="1"/>
  <c r="M163" i="13" l="1"/>
  <c r="N163" i="13" s="1"/>
  <c r="O163" i="13" s="1"/>
  <c r="L164" i="13" s="1"/>
  <c r="M164" i="13" l="1"/>
  <c r="N164" i="13" s="1"/>
  <c r="O164" i="13" s="1"/>
  <c r="L165" i="13" s="1"/>
  <c r="M165" i="13" l="1"/>
  <c r="N165" i="13" s="1"/>
  <c r="O165" i="13" s="1"/>
  <c r="L166" i="13" s="1"/>
  <c r="M166" i="13" l="1"/>
  <c r="N166" i="13" s="1"/>
  <c r="O166" i="13" s="1"/>
  <c r="L167" i="13" s="1"/>
  <c r="M167" i="13" l="1"/>
  <c r="N167" i="13" s="1"/>
  <c r="O167" i="13" s="1"/>
  <c r="L168" i="13" s="1"/>
  <c r="M168" i="13" l="1"/>
  <c r="N168" i="13" s="1"/>
  <c r="O168" i="13" s="1"/>
  <c r="L169" i="13" s="1"/>
  <c r="M169" i="13" l="1"/>
  <c r="N169" i="13" s="1"/>
  <c r="O169" i="13" s="1"/>
  <c r="L170" i="13" s="1"/>
  <c r="M170" i="13" l="1"/>
  <c r="N170" i="13" s="1"/>
  <c r="O170" i="13" s="1"/>
  <c r="L171" i="13" s="1"/>
  <c r="M171" i="13" l="1"/>
  <c r="N171" i="13" s="1"/>
  <c r="O171" i="13" s="1"/>
  <c r="L172" i="13" s="1"/>
  <c r="M172" i="13" l="1"/>
  <c r="N172" i="13" s="1"/>
  <c r="O172" i="13" s="1"/>
  <c r="L173" i="13" s="1"/>
  <c r="M173" i="13" l="1"/>
  <c r="N173" i="13" s="1"/>
  <c r="O173" i="13" s="1"/>
  <c r="L174" i="13" s="1"/>
  <c r="M174" i="13" l="1"/>
  <c r="N174" i="13" s="1"/>
  <c r="O174" i="13" s="1"/>
  <c r="L175" i="13" s="1"/>
  <c r="M175" i="13" l="1"/>
  <c r="N175" i="13" s="1"/>
  <c r="O175" i="13" s="1"/>
  <c r="L176" i="13" s="1"/>
  <c r="M176" i="13" l="1"/>
  <c r="N176" i="13" s="1"/>
  <c r="O176" i="13" s="1"/>
  <c r="L177" i="13" s="1"/>
  <c r="M177" i="13" l="1"/>
  <c r="N177" i="13" s="1"/>
  <c r="O177" i="13" s="1"/>
  <c r="L178" i="13" s="1"/>
  <c r="M178" i="13" l="1"/>
  <c r="N178" i="13" s="1"/>
  <c r="O178" i="13" s="1"/>
  <c r="L179" i="13" s="1"/>
  <c r="M179" i="13" l="1"/>
  <c r="N179" i="13" s="1"/>
  <c r="O179" i="13" s="1"/>
  <c r="L180" i="13" s="1"/>
  <c r="M180" i="13" l="1"/>
  <c r="N180" i="13" s="1"/>
  <c r="O180" i="13" s="1"/>
  <c r="L181" i="13" s="1"/>
  <c r="M181" i="13" l="1"/>
  <c r="N181" i="13" s="1"/>
  <c r="O181" i="13" s="1"/>
  <c r="L182" i="13" s="1"/>
  <c r="M182" i="13" l="1"/>
  <c r="N182" i="13" s="1"/>
  <c r="O182" i="13" s="1"/>
  <c r="L183" i="13" s="1"/>
  <c r="M183" i="13" l="1"/>
  <c r="N183" i="13" s="1"/>
  <c r="O183" i="13" s="1"/>
  <c r="L184" i="13" s="1"/>
  <c r="M184" i="13" l="1"/>
  <c r="N184" i="13" s="1"/>
  <c r="O184" i="13" s="1"/>
  <c r="L185" i="13" s="1"/>
  <c r="M185" i="13" l="1"/>
  <c r="N185" i="13" s="1"/>
  <c r="O185" i="13"/>
  <c r="L186" i="13" s="1"/>
  <c r="M186" i="13" l="1"/>
  <c r="N186" i="13" s="1"/>
  <c r="O186" i="13" s="1"/>
  <c r="L187" i="13" s="1"/>
  <c r="M187" i="13" l="1"/>
  <c r="N187" i="13" s="1"/>
  <c r="O187" i="13" s="1"/>
  <c r="L188" i="13" s="1"/>
  <c r="M188" i="13" l="1"/>
  <c r="N188" i="13" s="1"/>
  <c r="O188" i="13" s="1"/>
  <c r="L189" i="13" s="1"/>
  <c r="M189" i="13" l="1"/>
  <c r="N189" i="13" s="1"/>
  <c r="O189" i="13" s="1"/>
  <c r="L190" i="13" s="1"/>
  <c r="M190" i="13" l="1"/>
  <c r="N190" i="13" s="1"/>
  <c r="O190" i="13" s="1"/>
  <c r="L191" i="13" s="1"/>
  <c r="M191" i="13" l="1"/>
  <c r="N191" i="13" s="1"/>
  <c r="O191" i="13" s="1"/>
  <c r="L192" i="13" s="1"/>
  <c r="M192" i="13" l="1"/>
  <c r="N192" i="13" s="1"/>
  <c r="O192" i="13" s="1"/>
  <c r="L193" i="13" s="1"/>
  <c r="M193" i="13" l="1"/>
  <c r="N193" i="13" s="1"/>
  <c r="O193" i="13" s="1"/>
  <c r="L194" i="13" s="1"/>
  <c r="M194" i="13" l="1"/>
  <c r="N194" i="13" s="1"/>
  <c r="O194" i="13" s="1"/>
  <c r="L195" i="13" s="1"/>
  <c r="M195" i="13" l="1"/>
  <c r="N195" i="13" s="1"/>
  <c r="O195" i="13" s="1"/>
  <c r="L196" i="13" s="1"/>
  <c r="M196" i="13" l="1"/>
  <c r="N196" i="13" s="1"/>
  <c r="O196" i="13" s="1"/>
  <c r="L197" i="13" s="1"/>
  <c r="M197" i="13" l="1"/>
  <c r="N197" i="13" s="1"/>
  <c r="O197" i="13" s="1"/>
  <c r="L198" i="13" s="1"/>
  <c r="M198" i="13" l="1"/>
  <c r="N198" i="13" s="1"/>
  <c r="O198" i="13" s="1"/>
  <c r="L199" i="13" s="1"/>
  <c r="M199" i="13" l="1"/>
  <c r="N199" i="13" s="1"/>
  <c r="O199" i="13" s="1"/>
  <c r="L200" i="13" s="1"/>
  <c r="M200" i="13" l="1"/>
  <c r="N200" i="13" s="1"/>
  <c r="O200" i="13" s="1"/>
  <c r="L201" i="13" s="1"/>
  <c r="M201" i="13" l="1"/>
  <c r="N201" i="13" s="1"/>
  <c r="O201" i="13" s="1"/>
  <c r="L202" i="13" s="1"/>
  <c r="M202" i="13" l="1"/>
  <c r="N202" i="13" s="1"/>
  <c r="O202" i="13" s="1"/>
  <c r="L203" i="13" s="1"/>
  <c r="M203" i="13" l="1"/>
  <c r="N203" i="13" s="1"/>
  <c r="O203" i="13" s="1"/>
  <c r="L204" i="13" s="1"/>
  <c r="M204" i="13" l="1"/>
  <c r="N204" i="13" s="1"/>
  <c r="O204" i="13" s="1"/>
  <c r="L205" i="13" s="1"/>
  <c r="M205" i="13" l="1"/>
  <c r="N205" i="13" s="1"/>
  <c r="O205" i="13" s="1"/>
  <c r="L206" i="13" s="1"/>
  <c r="M206" i="13" l="1"/>
  <c r="N206" i="13" s="1"/>
  <c r="O206" i="13" s="1"/>
  <c r="L207" i="13" s="1"/>
  <c r="M207" i="13" l="1"/>
  <c r="N207" i="13" s="1"/>
  <c r="O207" i="13" s="1"/>
  <c r="L208" i="13" s="1"/>
  <c r="M208" i="13" l="1"/>
  <c r="N208" i="13" s="1"/>
  <c r="O208" i="13" s="1"/>
  <c r="L209" i="13" s="1"/>
  <c r="M209" i="13" l="1"/>
  <c r="N209" i="13" s="1"/>
  <c r="O209" i="13" s="1"/>
  <c r="L210" i="13" s="1"/>
  <c r="M210" i="13" l="1"/>
  <c r="N210" i="13" s="1"/>
  <c r="O210" i="13" s="1"/>
  <c r="L211" i="13" s="1"/>
  <c r="M211" i="13" l="1"/>
  <c r="N211" i="13" s="1"/>
  <c r="O211" i="13" s="1"/>
  <c r="L212" i="13" s="1"/>
  <c r="M212" i="13" l="1"/>
  <c r="N212" i="13" s="1"/>
  <c r="O212" i="13" s="1"/>
  <c r="L213" i="13" s="1"/>
  <c r="M213" i="13" l="1"/>
  <c r="N213" i="13" s="1"/>
  <c r="O213" i="13" s="1"/>
  <c r="L214" i="13" s="1"/>
  <c r="M214" i="13" l="1"/>
  <c r="N214" i="13" s="1"/>
  <c r="O214" i="13" s="1"/>
  <c r="L215" i="13" s="1"/>
  <c r="M215" i="13" l="1"/>
  <c r="N215" i="13" s="1"/>
  <c r="O215" i="13" s="1"/>
  <c r="L216" i="13" s="1"/>
  <c r="M216" i="13" l="1"/>
  <c r="N216" i="13" s="1"/>
  <c r="O216" i="13" s="1"/>
  <c r="L217" i="13" s="1"/>
  <c r="M217" i="13" l="1"/>
  <c r="N217" i="13" s="1"/>
  <c r="O217" i="13" s="1"/>
  <c r="L218" i="13" s="1"/>
  <c r="M218" i="13" l="1"/>
  <c r="N218" i="13" s="1"/>
  <c r="O218" i="13" s="1"/>
  <c r="L219" i="13" s="1"/>
  <c r="M219" i="13" l="1"/>
  <c r="N219" i="13" s="1"/>
  <c r="O219" i="13" s="1"/>
  <c r="L220" i="13" s="1"/>
  <c r="M220" i="13" l="1"/>
  <c r="N220" i="13" s="1"/>
  <c r="O220" i="13" s="1"/>
  <c r="L221" i="13" s="1"/>
  <c r="M221" i="13" l="1"/>
  <c r="N221" i="13" s="1"/>
  <c r="O221" i="13" s="1"/>
  <c r="L222" i="13" s="1"/>
  <c r="M222" i="13" l="1"/>
  <c r="N222" i="13" s="1"/>
  <c r="O222" i="13" s="1"/>
  <c r="L223" i="13" s="1"/>
  <c r="M223" i="13" l="1"/>
  <c r="N223" i="13" s="1"/>
  <c r="O223" i="13" s="1"/>
  <c r="L224" i="13" s="1"/>
  <c r="M224" i="13" l="1"/>
  <c r="N224" i="13" s="1"/>
  <c r="O224" i="13" s="1"/>
  <c r="L225" i="13" s="1"/>
  <c r="M225" i="13" l="1"/>
  <c r="N225" i="13" s="1"/>
  <c r="O225" i="13" s="1"/>
  <c r="L226" i="13" s="1"/>
  <c r="M226" i="13" l="1"/>
  <c r="N226" i="13" s="1"/>
  <c r="O226" i="13" s="1"/>
  <c r="L227" i="13" s="1"/>
  <c r="M227" i="13" l="1"/>
  <c r="N227" i="13" s="1"/>
  <c r="O227" i="13" s="1"/>
  <c r="L228" i="13" s="1"/>
  <c r="M228" i="13" l="1"/>
  <c r="N228" i="13" s="1"/>
  <c r="O228" i="13" s="1"/>
  <c r="L229" i="13" s="1"/>
  <c r="M229" i="13" l="1"/>
  <c r="N229" i="13" s="1"/>
  <c r="O229" i="13" s="1"/>
  <c r="L230" i="13" s="1"/>
  <c r="M230" i="13" l="1"/>
  <c r="N230" i="13" s="1"/>
  <c r="O230" i="13" s="1"/>
  <c r="L231" i="13" s="1"/>
  <c r="M231" i="13" l="1"/>
  <c r="N231" i="13" s="1"/>
  <c r="O231" i="13"/>
  <c r="L232" i="13" s="1"/>
  <c r="M232" i="13" l="1"/>
  <c r="N232" i="13" s="1"/>
  <c r="O232" i="13" s="1"/>
  <c r="L233" i="13" s="1"/>
  <c r="M233" i="13" l="1"/>
  <c r="N233" i="13" s="1"/>
  <c r="O233" i="13" s="1"/>
  <c r="L234" i="13" s="1"/>
  <c r="M234" i="13" l="1"/>
  <c r="N234" i="13" s="1"/>
  <c r="O234" i="13"/>
  <c r="L235" i="13" s="1"/>
  <c r="M235" i="13" l="1"/>
  <c r="N235" i="13" s="1"/>
  <c r="O235" i="13"/>
  <c r="L236" i="13" s="1"/>
  <c r="M236" i="13" l="1"/>
  <c r="N236" i="13" s="1"/>
  <c r="O236" i="13" s="1"/>
  <c r="L237" i="13" s="1"/>
  <c r="M237" i="13" l="1"/>
  <c r="N237" i="13" s="1"/>
  <c r="O237" i="13" s="1"/>
  <c r="L238" i="13" s="1"/>
  <c r="M238" i="13" l="1"/>
  <c r="N238" i="13" s="1"/>
  <c r="O238" i="13" s="1"/>
  <c r="L239" i="13" s="1"/>
  <c r="M239" i="13" l="1"/>
  <c r="N239" i="13" s="1"/>
  <c r="O239" i="13"/>
  <c r="L240" i="13" s="1"/>
  <c r="M240" i="13" l="1"/>
  <c r="N240" i="13" s="1"/>
  <c r="O240" i="13" s="1"/>
  <c r="L241" i="13" s="1"/>
  <c r="M241" i="13" l="1"/>
  <c r="N241" i="13" s="1"/>
  <c r="O241" i="13" s="1"/>
  <c r="L242" i="13" s="1"/>
  <c r="M242" i="13" l="1"/>
  <c r="N242" i="13" s="1"/>
  <c r="O242" i="13" s="1"/>
  <c r="L243" i="13" s="1"/>
  <c r="M243" i="13" l="1"/>
  <c r="N243" i="13" s="1"/>
  <c r="O243" i="13" s="1"/>
  <c r="L244" i="13" s="1"/>
  <c r="M244" i="13" l="1"/>
  <c r="N244" i="13" s="1"/>
  <c r="O244" i="13" s="1"/>
  <c r="L245" i="13" s="1"/>
  <c r="M245" i="13" l="1"/>
  <c r="N245" i="13" s="1"/>
  <c r="O245" i="13" s="1"/>
  <c r="L246" i="13" s="1"/>
  <c r="M246" i="13" l="1"/>
  <c r="N246" i="13" s="1"/>
  <c r="O246" i="13" s="1"/>
  <c r="L247" i="13" s="1"/>
  <c r="M247" i="13" l="1"/>
  <c r="N247" i="13" s="1"/>
  <c r="O247" i="13"/>
  <c r="L248" i="13" s="1"/>
  <c r="M248" i="13" l="1"/>
  <c r="N248" i="13" s="1"/>
  <c r="O248" i="13" s="1"/>
  <c r="L249" i="13" s="1"/>
  <c r="M249" i="13" l="1"/>
  <c r="N249" i="13" s="1"/>
  <c r="O249" i="13" s="1"/>
  <c r="L250" i="13" s="1"/>
  <c r="M250" i="13" l="1"/>
  <c r="N250" i="13" s="1"/>
  <c r="O250" i="13" s="1"/>
  <c r="L251" i="13" s="1"/>
  <c r="M251" i="13" l="1"/>
  <c r="N251" i="13" s="1"/>
  <c r="O251" i="13" s="1"/>
  <c r="L252" i="13" s="1"/>
  <c r="M252" i="13" l="1"/>
  <c r="N252" i="13" s="1"/>
  <c r="O252" i="13" s="1"/>
  <c r="L253" i="13" s="1"/>
  <c r="M253" i="13" l="1"/>
  <c r="N253" i="13" s="1"/>
  <c r="O253" i="13"/>
  <c r="L254" i="13" s="1"/>
  <c r="M254" i="13" l="1"/>
  <c r="N254" i="13" s="1"/>
  <c r="O254" i="13" s="1"/>
  <c r="L255" i="13" s="1"/>
  <c r="M255" i="13" l="1"/>
  <c r="N255" i="13" s="1"/>
  <c r="O255" i="13" s="1"/>
  <c r="L256" i="13" s="1"/>
  <c r="M256" i="13" l="1"/>
  <c r="N256" i="13" s="1"/>
  <c r="O256" i="13" s="1"/>
  <c r="L257" i="13" s="1"/>
  <c r="M257" i="13" l="1"/>
  <c r="N257" i="13" s="1"/>
  <c r="O257" i="13" s="1"/>
  <c r="L258" i="13" s="1"/>
  <c r="M258" i="13" l="1"/>
  <c r="N258" i="13" s="1"/>
  <c r="O258" i="13" s="1"/>
  <c r="L259" i="13" s="1"/>
  <c r="M259" i="13" l="1"/>
  <c r="N259" i="13" s="1"/>
  <c r="O259" i="13"/>
  <c r="L260" i="13" s="1"/>
  <c r="M260" i="13" l="1"/>
  <c r="N260" i="13" s="1"/>
  <c r="O260" i="13" s="1"/>
  <c r="L261" i="13" s="1"/>
  <c r="M261" i="13" l="1"/>
  <c r="N261" i="13" s="1"/>
  <c r="O261" i="13" s="1"/>
  <c r="L262" i="13" s="1"/>
  <c r="M262" i="13" l="1"/>
  <c r="N262" i="13" s="1"/>
  <c r="O262" i="13" s="1"/>
  <c r="L263" i="13" s="1"/>
  <c r="M263" i="13" l="1"/>
  <c r="N263" i="13" s="1"/>
  <c r="O263" i="13" s="1"/>
  <c r="L264" i="13" s="1"/>
  <c r="M264" i="13" l="1"/>
  <c r="N264" i="13" s="1"/>
  <c r="O264" i="13" s="1"/>
  <c r="L265" i="13" s="1"/>
  <c r="M265" i="13" l="1"/>
  <c r="N265" i="13" s="1"/>
  <c r="O265" i="13" s="1"/>
  <c r="L266" i="13" s="1"/>
  <c r="M266" i="13" l="1"/>
  <c r="N266" i="13" s="1"/>
  <c r="O266" i="13" s="1"/>
  <c r="L267" i="13" s="1"/>
  <c r="M267" i="13" l="1"/>
  <c r="N267" i="13" s="1"/>
  <c r="O267" i="13" s="1"/>
  <c r="L268" i="13" s="1"/>
  <c r="M268" i="13" l="1"/>
  <c r="N268" i="13" s="1"/>
  <c r="O268" i="13" s="1"/>
  <c r="L269" i="13" s="1"/>
  <c r="M269" i="13" l="1"/>
  <c r="N269" i="13" s="1"/>
  <c r="O269" i="13" s="1"/>
  <c r="L270" i="13" s="1"/>
  <c r="M270" i="13" l="1"/>
  <c r="N270" i="13" s="1"/>
  <c r="O270" i="13" s="1"/>
  <c r="L271" i="13" s="1"/>
  <c r="M271" i="13" l="1"/>
  <c r="N271" i="13" s="1"/>
  <c r="O271" i="13" s="1"/>
  <c r="L272" i="13" s="1"/>
  <c r="M272" i="13" l="1"/>
  <c r="N272" i="13" s="1"/>
  <c r="O272" i="13" s="1"/>
  <c r="L273" i="13" s="1"/>
  <c r="M273" i="13" l="1"/>
  <c r="N273" i="13" s="1"/>
  <c r="O273" i="13" s="1"/>
  <c r="L274" i="13" s="1"/>
  <c r="M274" i="13" l="1"/>
  <c r="N274" i="13" s="1"/>
  <c r="O274" i="13" s="1"/>
  <c r="L275" i="13" s="1"/>
  <c r="M275" i="13" l="1"/>
  <c r="N275" i="13" s="1"/>
  <c r="O275" i="13"/>
  <c r="L276" i="13" s="1"/>
  <c r="M276" i="13" l="1"/>
  <c r="N276" i="13" s="1"/>
  <c r="O276" i="13" s="1"/>
  <c r="L277" i="13" s="1"/>
  <c r="M277" i="13" l="1"/>
  <c r="N277" i="13" s="1"/>
  <c r="O277" i="13" s="1"/>
  <c r="L278" i="13" s="1"/>
  <c r="M278" i="13" l="1"/>
  <c r="N278" i="13" s="1"/>
  <c r="O278" i="13" s="1"/>
  <c r="L279" i="13" s="1"/>
  <c r="M279" i="13" l="1"/>
  <c r="N279" i="13" s="1"/>
  <c r="O279" i="13" s="1"/>
  <c r="L280" i="13" s="1"/>
  <c r="M280" i="13" l="1"/>
  <c r="N280" i="13" s="1"/>
  <c r="O280" i="13" s="1"/>
  <c r="L281" i="13" s="1"/>
  <c r="M281" i="13" l="1"/>
  <c r="N281" i="13" s="1"/>
  <c r="O281" i="13" s="1"/>
  <c r="L282" i="13" s="1"/>
  <c r="M282" i="13" l="1"/>
  <c r="N282" i="13" s="1"/>
  <c r="O282" i="13" s="1"/>
  <c r="L283" i="13" s="1"/>
  <c r="M283" i="13" l="1"/>
  <c r="N283" i="13" s="1"/>
  <c r="O283" i="13" s="1"/>
  <c r="L284" i="13" s="1"/>
  <c r="M284" i="13" l="1"/>
  <c r="N284" i="13" s="1"/>
  <c r="O284" i="13" s="1"/>
  <c r="L285" i="13" s="1"/>
  <c r="M285" i="13" l="1"/>
  <c r="N285" i="13" s="1"/>
  <c r="O285" i="13" s="1"/>
  <c r="L286" i="13" s="1"/>
  <c r="M286" i="13" l="1"/>
  <c r="N286" i="13" s="1"/>
  <c r="O286" i="13" s="1"/>
  <c r="L287" i="13" s="1"/>
  <c r="M287" i="13" l="1"/>
  <c r="N287" i="13" s="1"/>
  <c r="O287" i="13" s="1"/>
  <c r="L288" i="13" s="1"/>
  <c r="M288" i="13" l="1"/>
  <c r="N288" i="13" s="1"/>
  <c r="O288" i="13" s="1"/>
  <c r="L289" i="13" s="1"/>
  <c r="M289" i="13" l="1"/>
  <c r="N289" i="13" s="1"/>
  <c r="O289" i="13" s="1"/>
  <c r="L290" i="13" s="1"/>
  <c r="M290" i="13" l="1"/>
  <c r="N290" i="13" s="1"/>
  <c r="O290" i="13" s="1"/>
  <c r="L291" i="13" s="1"/>
  <c r="M291" i="13" l="1"/>
  <c r="N291" i="13" s="1"/>
  <c r="O291" i="13" s="1"/>
  <c r="L292" i="13" s="1"/>
  <c r="M292" i="13" l="1"/>
  <c r="N292" i="13" s="1"/>
  <c r="O292" i="13" s="1"/>
  <c r="L293" i="13" s="1"/>
  <c r="M293" i="13" l="1"/>
  <c r="N293" i="13" s="1"/>
  <c r="O293" i="13" s="1"/>
  <c r="L294" i="13" s="1"/>
  <c r="M294" i="13" l="1"/>
  <c r="N294" i="13" s="1"/>
  <c r="O294" i="13" s="1"/>
  <c r="L295" i="13" s="1"/>
  <c r="M295" i="13" l="1"/>
  <c r="N295" i="13" s="1"/>
  <c r="O295" i="13" s="1"/>
  <c r="L296" i="13" s="1"/>
  <c r="M296" i="13" l="1"/>
  <c r="N296" i="13" s="1"/>
  <c r="O296" i="13" s="1"/>
  <c r="L297" i="13" s="1"/>
  <c r="M297" i="13" l="1"/>
  <c r="N297" i="13" s="1"/>
  <c r="O297" i="13" s="1"/>
  <c r="L298" i="13" s="1"/>
  <c r="M298" i="13" l="1"/>
  <c r="N298" i="13" s="1"/>
  <c r="O298" i="13" s="1"/>
  <c r="L299" i="13" s="1"/>
  <c r="M299" i="13" l="1"/>
  <c r="N299" i="13" s="1"/>
  <c r="O299" i="13" s="1"/>
  <c r="L300" i="13" s="1"/>
  <c r="M300" i="13" l="1"/>
  <c r="N300" i="13" s="1"/>
  <c r="O300" i="13" s="1"/>
  <c r="L301" i="13" s="1"/>
  <c r="M301" i="13" l="1"/>
  <c r="N301" i="13" s="1"/>
  <c r="O301" i="13" s="1"/>
  <c r="L302" i="13" s="1"/>
  <c r="M302" i="13" l="1"/>
  <c r="N302" i="13" s="1"/>
  <c r="O302" i="13" s="1"/>
  <c r="L303" i="13" s="1"/>
  <c r="M303" i="13" l="1"/>
  <c r="N303" i="13" s="1"/>
  <c r="O303" i="13" s="1"/>
  <c r="L304" i="13" s="1"/>
  <c r="M304" i="13" l="1"/>
  <c r="N304" i="13" s="1"/>
  <c r="O304" i="13" s="1"/>
  <c r="L305" i="13" s="1"/>
  <c r="M305" i="13" l="1"/>
  <c r="N305" i="13" s="1"/>
  <c r="O305" i="13"/>
  <c r="L306" i="13" s="1"/>
  <c r="M306" i="13" l="1"/>
  <c r="N306" i="13" s="1"/>
  <c r="O306" i="13" s="1"/>
  <c r="L307" i="13" s="1"/>
  <c r="M307" i="13" l="1"/>
  <c r="N307" i="13" s="1"/>
  <c r="O307" i="13" s="1"/>
  <c r="L308" i="13" s="1"/>
  <c r="M308" i="13" l="1"/>
  <c r="N308" i="13" s="1"/>
  <c r="O308" i="13" s="1"/>
  <c r="L309" i="13" s="1"/>
  <c r="M309" i="13" l="1"/>
  <c r="N309" i="13" s="1"/>
  <c r="O309" i="13" s="1"/>
  <c r="L310" i="13" s="1"/>
  <c r="M310" i="13" l="1"/>
  <c r="N310" i="13" s="1"/>
  <c r="O310" i="13" s="1"/>
  <c r="L311" i="13" s="1"/>
  <c r="M311" i="13" l="1"/>
  <c r="N311" i="13" s="1"/>
  <c r="O311" i="13" s="1"/>
  <c r="L312" i="13" s="1"/>
  <c r="M312" i="13" l="1"/>
  <c r="N312" i="13" s="1"/>
  <c r="O312" i="13" s="1"/>
  <c r="L313" i="13" s="1"/>
  <c r="M313" i="13" l="1"/>
  <c r="N313" i="13" s="1"/>
  <c r="O313" i="13" s="1"/>
  <c r="L314" i="13" s="1"/>
  <c r="M314" i="13" l="1"/>
  <c r="N314" i="13" s="1"/>
  <c r="O314" i="13" s="1"/>
  <c r="L315" i="13" s="1"/>
  <c r="M315" i="13" l="1"/>
  <c r="N315" i="13" s="1"/>
  <c r="O315" i="13" s="1"/>
  <c r="L316" i="13" s="1"/>
  <c r="M316" i="13" l="1"/>
  <c r="N316" i="13" s="1"/>
  <c r="O316" i="13" s="1"/>
  <c r="L317" i="13" s="1"/>
  <c r="M317" i="13" l="1"/>
  <c r="N317" i="13" s="1"/>
  <c r="O317" i="13" s="1"/>
  <c r="L318" i="13" s="1"/>
  <c r="M318" i="13" l="1"/>
  <c r="N318" i="13" s="1"/>
  <c r="O318" i="13" s="1"/>
  <c r="L319" i="13" s="1"/>
  <c r="M319" i="13" l="1"/>
  <c r="N319" i="13" s="1"/>
  <c r="O319" i="13" s="1"/>
  <c r="L320" i="13" s="1"/>
  <c r="M320" i="13" l="1"/>
  <c r="N320" i="13" s="1"/>
  <c r="O320" i="13" s="1"/>
  <c r="L321" i="13" s="1"/>
  <c r="M321" i="13" l="1"/>
  <c r="N321" i="13" s="1"/>
  <c r="O321" i="13" s="1"/>
  <c r="L322" i="13" s="1"/>
  <c r="M322" i="13" l="1"/>
  <c r="N322" i="13" s="1"/>
  <c r="O322" i="13" s="1"/>
  <c r="L323" i="13" s="1"/>
  <c r="M323" i="13" l="1"/>
  <c r="N323" i="13" s="1"/>
  <c r="O323" i="13" s="1"/>
  <c r="L324" i="13" s="1"/>
  <c r="M324" i="13" l="1"/>
  <c r="N324" i="13" s="1"/>
  <c r="O324" i="13" s="1"/>
  <c r="L325" i="13" s="1"/>
  <c r="M325" i="13" l="1"/>
  <c r="N325" i="13" s="1"/>
  <c r="O325" i="13" s="1"/>
  <c r="L326" i="13" s="1"/>
  <c r="M326" i="13" l="1"/>
  <c r="N326" i="13" s="1"/>
  <c r="O326" i="13" s="1"/>
  <c r="L327" i="13" s="1"/>
  <c r="M327" i="13" l="1"/>
  <c r="N327" i="13" s="1"/>
  <c r="O327" i="13" s="1"/>
  <c r="L328" i="13" s="1"/>
  <c r="M328" i="13" l="1"/>
  <c r="N328" i="13" s="1"/>
  <c r="O328" i="13" s="1"/>
  <c r="L329" i="13" s="1"/>
  <c r="M329" i="13" l="1"/>
  <c r="N329" i="13" s="1"/>
  <c r="O329" i="13" s="1"/>
  <c r="L330" i="13" s="1"/>
  <c r="M330" i="13" l="1"/>
  <c r="N330" i="13" s="1"/>
  <c r="O330" i="13" s="1"/>
  <c r="L331" i="13" s="1"/>
  <c r="M331" i="13" l="1"/>
  <c r="N331" i="13" s="1"/>
  <c r="O331" i="13" s="1"/>
  <c r="L332" i="13" s="1"/>
  <c r="M332" i="13" l="1"/>
  <c r="N332" i="13" s="1"/>
  <c r="O332" i="13" s="1"/>
  <c r="L333" i="13" s="1"/>
  <c r="M333" i="13" l="1"/>
  <c r="N333" i="13" s="1"/>
  <c r="O333" i="13" s="1"/>
  <c r="L334" i="13" s="1"/>
  <c r="M334" i="13" l="1"/>
  <c r="N334" i="13" s="1"/>
  <c r="O334" i="13" s="1"/>
  <c r="L335" i="13" s="1"/>
  <c r="M335" i="13" l="1"/>
  <c r="N335" i="13" s="1"/>
  <c r="O335" i="13" s="1"/>
  <c r="L336" i="13" s="1"/>
  <c r="M336" i="13" l="1"/>
  <c r="N336" i="13" s="1"/>
  <c r="O336" i="13" s="1"/>
  <c r="L337" i="13" s="1"/>
  <c r="M337" i="13" l="1"/>
  <c r="N337" i="13" s="1"/>
  <c r="O337" i="13" s="1"/>
  <c r="L338" i="13" s="1"/>
  <c r="M338" i="13" l="1"/>
  <c r="N338" i="13" s="1"/>
  <c r="O338" i="13" s="1"/>
  <c r="L339" i="13" s="1"/>
  <c r="M339" i="13" l="1"/>
  <c r="N339" i="13" s="1"/>
  <c r="O339" i="13" s="1"/>
  <c r="L340" i="13" s="1"/>
  <c r="M340" i="13" l="1"/>
  <c r="N340" i="13" s="1"/>
  <c r="O340" i="13" s="1"/>
  <c r="L341" i="13" s="1"/>
  <c r="M341" i="13" l="1"/>
  <c r="N341" i="13" s="1"/>
  <c r="O341" i="13" s="1"/>
  <c r="L342" i="13" s="1"/>
  <c r="M342" i="13" l="1"/>
  <c r="N342" i="13" s="1"/>
  <c r="O342" i="13" s="1"/>
  <c r="L343" i="13" s="1"/>
  <c r="M343" i="13" l="1"/>
  <c r="N343" i="13" s="1"/>
  <c r="O343" i="13" s="1"/>
  <c r="L344" i="13" s="1"/>
  <c r="M344" i="13" l="1"/>
  <c r="N344" i="13" s="1"/>
  <c r="O344" i="13" s="1"/>
  <c r="L345" i="13" s="1"/>
  <c r="M345" i="13" l="1"/>
  <c r="N345" i="13" s="1"/>
  <c r="O345" i="13" s="1"/>
  <c r="L346" i="13" s="1"/>
  <c r="M346" i="13" l="1"/>
  <c r="N346" i="13" s="1"/>
  <c r="O346" i="13" s="1"/>
  <c r="L347" i="13" s="1"/>
  <c r="M347" i="13" l="1"/>
  <c r="N347" i="13" s="1"/>
  <c r="O347" i="13" s="1"/>
  <c r="L348" i="13" s="1"/>
  <c r="M348" i="13" l="1"/>
  <c r="N348" i="13" s="1"/>
  <c r="O348" i="13" s="1"/>
  <c r="L349" i="13" s="1"/>
  <c r="M349" i="13" l="1"/>
  <c r="N349" i="13" s="1"/>
  <c r="O349" i="13" s="1"/>
  <c r="L350" i="13" s="1"/>
  <c r="M350" i="13" l="1"/>
  <c r="N350" i="13" s="1"/>
  <c r="O350" i="13" s="1"/>
  <c r="L351" i="13" s="1"/>
  <c r="M351" i="13" l="1"/>
  <c r="N351" i="13" s="1"/>
  <c r="O351" i="13" s="1"/>
  <c r="L352" i="13" s="1"/>
  <c r="M352" i="13" l="1"/>
  <c r="N352" i="13" s="1"/>
  <c r="O352" i="13" s="1"/>
  <c r="L353" i="13" s="1"/>
  <c r="M353" i="13" l="1"/>
  <c r="N353" i="13" s="1"/>
  <c r="O353" i="13" s="1"/>
  <c r="L354" i="13" s="1"/>
  <c r="M354" i="13" l="1"/>
  <c r="N354" i="13" s="1"/>
  <c r="O354" i="13" s="1"/>
  <c r="L355" i="13" s="1"/>
  <c r="M355" i="13" l="1"/>
  <c r="N355" i="13" s="1"/>
  <c r="O355" i="13" s="1"/>
  <c r="L356" i="13" s="1"/>
  <c r="M356" i="13" l="1"/>
  <c r="N356" i="13" s="1"/>
  <c r="O356" i="13" s="1"/>
  <c r="L357" i="13" s="1"/>
  <c r="M357" i="13" l="1"/>
  <c r="N357" i="13" s="1"/>
  <c r="O357" i="13" s="1"/>
  <c r="L358" i="13" s="1"/>
  <c r="M358" i="13" l="1"/>
  <c r="N358" i="13" s="1"/>
  <c r="O358" i="13" s="1"/>
  <c r="L359" i="13" s="1"/>
  <c r="M359" i="13" l="1"/>
  <c r="N359" i="13" s="1"/>
  <c r="O359" i="13" s="1"/>
  <c r="L360" i="13" s="1"/>
  <c r="M360" i="13" l="1"/>
  <c r="N360" i="13" s="1"/>
  <c r="O360" i="13" s="1"/>
  <c r="L361" i="13" s="1"/>
  <c r="M361" i="13" l="1"/>
  <c r="N361" i="13" s="1"/>
  <c r="O361" i="13" s="1"/>
  <c r="L362" i="13" s="1"/>
  <c r="M362" i="13" l="1"/>
  <c r="N362" i="13" s="1"/>
  <c r="O362" i="13" s="1"/>
  <c r="L363" i="13" s="1"/>
  <c r="M363" i="13" l="1"/>
  <c r="N363" i="13" s="1"/>
  <c r="O363" i="13" s="1"/>
  <c r="L364" i="13" s="1"/>
  <c r="M364" i="13" l="1"/>
  <c r="N364" i="13" s="1"/>
  <c r="O364" i="13" s="1"/>
  <c r="L365" i="13" s="1"/>
  <c r="M365" i="13" l="1"/>
  <c r="N365" i="13" s="1"/>
  <c r="O365" i="13" s="1"/>
  <c r="L366" i="13" s="1"/>
  <c r="M366" i="13" l="1"/>
  <c r="N366" i="13" s="1"/>
  <c r="O366" i="13" s="1"/>
  <c r="L367" i="13" s="1"/>
  <c r="M367" i="13" l="1"/>
  <c r="N367" i="13" s="1"/>
  <c r="O367" i="13" s="1"/>
  <c r="L368" i="13" s="1"/>
  <c r="M368" i="13" l="1"/>
  <c r="N368" i="13" s="1"/>
  <c r="O368" i="13" s="1"/>
  <c r="L369" i="13" s="1"/>
  <c r="M369" i="13" l="1"/>
  <c r="N369" i="13" s="1"/>
  <c r="O369" i="13"/>
  <c r="L370" i="13" s="1"/>
  <c r="M370" i="13" l="1"/>
  <c r="N370" i="13" s="1"/>
  <c r="O370" i="13" s="1"/>
  <c r="L371" i="13" s="1"/>
  <c r="M371" i="13" l="1"/>
  <c r="N371" i="13" s="1"/>
  <c r="O371" i="13" s="1"/>
  <c r="L372" i="13" s="1"/>
  <c r="M372" i="13" l="1"/>
  <c r="N372" i="13" s="1"/>
  <c r="O372" i="13" s="1"/>
  <c r="L373" i="13" s="1"/>
  <c r="M373" i="13" l="1"/>
  <c r="N373" i="13" s="1"/>
  <c r="O373" i="13" s="1"/>
  <c r="L374" i="13" s="1"/>
  <c r="M374" i="13" l="1"/>
  <c r="N374" i="13" l="1"/>
  <c r="I83" i="2"/>
  <c r="J83" i="2"/>
  <c r="K83" i="2"/>
  <c r="L83" i="2"/>
  <c r="M83" i="2"/>
  <c r="N83" i="2"/>
  <c r="O83" i="2"/>
  <c r="P83" i="2"/>
  <c r="Q83" i="2"/>
  <c r="I82" i="2" l="1"/>
  <c r="J82" i="2"/>
  <c r="K82" i="2"/>
  <c r="L82" i="2"/>
  <c r="M82" i="2"/>
  <c r="N82" i="2"/>
  <c r="O82" i="2"/>
  <c r="P82" i="2"/>
  <c r="Q82" i="2"/>
  <c r="O374" i="13"/>
  <c r="P84" i="2" l="1"/>
  <c r="P101" i="2" s="1"/>
  <c r="P87" i="2"/>
  <c r="M84" i="2"/>
  <c r="M101" i="2" s="1"/>
  <c r="M87" i="2"/>
  <c r="L84" i="2"/>
  <c r="L101" i="2" s="1"/>
  <c r="L87" i="2"/>
  <c r="N87" i="2"/>
  <c r="N84" i="2"/>
  <c r="N101" i="2" s="1"/>
  <c r="K87" i="2"/>
  <c r="K84" i="2"/>
  <c r="K101" i="2" s="1"/>
  <c r="O84" i="2"/>
  <c r="O101" i="2" s="1"/>
  <c r="O87" i="2"/>
  <c r="J84" i="2"/>
  <c r="J101" i="2" s="1"/>
  <c r="J87" i="2"/>
  <c r="Q87" i="2"/>
  <c r="Q84" i="2"/>
  <c r="Q101" i="2" s="1"/>
  <c r="I87" i="2"/>
  <c r="I84" i="2"/>
  <c r="I101" i="2" s="1"/>
  <c r="H39" i="2" l="1"/>
  <c r="H42" i="2" s="1"/>
  <c r="H61" i="2" s="1"/>
  <c r="H63" i="2" l="1"/>
  <c r="H87" i="2"/>
  <c r="H77" i="2"/>
  <c r="H84" i="2" s="1"/>
  <c r="H101" i="2" s="1"/>
  <c r="H73" i="2"/>
  <c r="Q109" i="2" l="1"/>
  <c r="Q107" i="2"/>
  <c r="Q68" i="2"/>
  <c r="Q69" i="2" s="1"/>
  <c r="Q70" i="2"/>
  <c r="K69" i="8" s="1"/>
  <c r="K70" i="8" l="1"/>
  <c r="M70" i="8" s="1"/>
  <c r="K68" i="8"/>
  <c r="Q10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tc={258D92CF-8828-41FA-AF16-E1AB9F68BE55}</author>
  </authors>
  <commentList>
    <comment ref="F50" authorId="0" shapeId="0" xr:uid="{258D92CF-8828-41FA-AF16-E1AB9F68BE55}">
      <text>
        <t>[Threaded comment]
Your version of Excel allows you to read this threaded comment; however, any edits to it will get removed if the file is opened in a newer version of Excel. Learn more: https://go.microsoft.com/fwlink/?linkid=870924
Comment:
    If "NO" duration input below does nothing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tc={8095C3ED-5173-4AF0-8E71-388BC43F2994}</author>
  </authors>
  <commentList>
    <comment ref="H119" authorId="0" shapeId="0" xr:uid="{8095C3ED-5173-4AF0-8E71-388BC43F2994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https://www.revenue.pa.gov/GeneralTaxInformation/Tax%20Types%20and%20Information/RTT/Documents/clr_factor_historical.pdf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Oberg, Colin</author>
    <author>McGraw II, Clyde</author>
  </authors>
  <commentList>
    <comment ref="B15" authorId="0" shapeId="0" xr:uid="{3558DC5A-EE02-428B-BBF0-48432C92CC2B}">
      <text>
        <r>
          <rPr>
            <b/>
            <sz val="9"/>
            <color indexed="81"/>
            <rFont val="Tahoma"/>
            <family val="2"/>
          </rPr>
          <t>Budget every 5 years, cost includes small areas of minor repair and crack refill and striping.</t>
        </r>
      </text>
    </comment>
    <comment ref="B16" authorId="0" shapeId="0" xr:uid="{AD573788-3701-4873-8C68-6259FE598A51}">
      <text>
        <r>
          <rPr>
            <b/>
            <sz val="9"/>
            <color indexed="81"/>
            <rFont val="Tahoma"/>
            <family val="2"/>
          </rPr>
          <t>Budget Full Depth Repair in areas where significant "alligator" type cracking and potholing is evident.</t>
        </r>
      </text>
    </comment>
    <comment ref="B20" authorId="1" shapeId="0" xr:uid="{64D65F02-3835-4DC5-AE67-F7269E777016}">
      <text>
        <r>
          <rPr>
            <b/>
            <sz val="9"/>
            <color indexed="81"/>
            <rFont val="Tahoma"/>
            <family val="2"/>
          </rPr>
          <t xml:space="preserve">replace at EUL
</t>
        </r>
      </text>
    </comment>
    <comment ref="B21" authorId="1" shapeId="0" xr:uid="{F663C47E-780D-43DB-B4E1-9051071050DA}">
      <text>
        <r>
          <rPr>
            <b/>
            <sz val="9"/>
            <color indexed="81"/>
            <rFont val="Tahoma"/>
            <family val="2"/>
          </rPr>
          <t>replace at EUL</t>
        </r>
      </text>
    </comment>
    <comment ref="B22" authorId="1" shapeId="0" xr:uid="{AD70B756-F480-4B59-8B73-2D856767C52E}">
      <text>
        <r>
          <rPr>
            <b/>
            <sz val="9"/>
            <color indexed="81"/>
            <rFont val="Tahoma"/>
            <family val="2"/>
          </rPr>
          <t>replace at EUL</t>
        </r>
      </text>
    </comment>
    <comment ref="B26" authorId="1" shapeId="0" xr:uid="{733D98A2-9D8C-46D8-9A11-A2414EE511CB}">
      <text>
        <r>
          <rPr>
            <b/>
            <sz val="9"/>
            <color indexed="81"/>
            <rFont val="Tahoma"/>
            <family val="2"/>
          </rPr>
          <t xml:space="preserve">includes increase to 1.5x for overhang. Add $.50 for northern climate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1" shapeId="0" xr:uid="{52973AE6-477D-415F-BC31-2B8A0E1CF69D}">
      <text>
        <r>
          <rPr>
            <b/>
            <sz val="9"/>
            <color indexed="81"/>
            <rFont val="Tahoma"/>
            <family val="2"/>
          </rPr>
          <t>includes 1.5x for overhang</t>
        </r>
      </text>
    </comment>
    <comment ref="B40" authorId="0" shapeId="0" xr:uid="{F4B92C56-8C9E-4C69-9779-3F34C79A9153}">
      <text>
        <r>
          <rPr>
            <b/>
            <sz val="9"/>
            <color indexed="81"/>
            <rFont val="Tahoma"/>
            <family val="2"/>
          </rPr>
          <t>Includes controls, motor, hoist way, door operators, and cab upgrades.</t>
        </r>
      </text>
    </comment>
    <comment ref="B41" authorId="0" shapeId="0" xr:uid="{CAF5D8D1-7532-415F-82A1-B226A6FD211C}">
      <text>
        <r>
          <rPr>
            <b/>
            <sz val="9"/>
            <color indexed="81"/>
            <rFont val="Tahoma"/>
            <family val="2"/>
          </rPr>
          <t>Pre-1972 should be changed immediately, Pre-1985 should be evaluated for corrosion potential.</t>
        </r>
      </text>
    </comment>
    <comment ref="B42" authorId="0" shapeId="0" xr:uid="{76EC2EF4-C9AC-4D35-A8B5-A6783FACDE07}">
      <text>
        <r>
          <rPr>
            <b/>
            <sz val="9"/>
            <color indexed="81"/>
            <rFont val="Tahoma"/>
            <family val="2"/>
          </rPr>
          <t>Includes controls, motor, hoist way, door operations and cab upgrades.</t>
        </r>
      </text>
    </comment>
    <comment ref="B43" authorId="0" shapeId="0" xr:uid="{56B6007A-37D7-402B-BD5F-14A9CD5F309B}">
      <text>
        <r>
          <rPr>
            <b/>
            <sz val="9"/>
            <color indexed="81"/>
            <rFont val="Tahoma"/>
            <family val="2"/>
          </rPr>
          <t>Includes controls, motor, hoist way, door operations and cab upgrades.</t>
        </r>
      </text>
    </comment>
    <comment ref="B47" authorId="0" shapeId="0" xr:uid="{AECBEC8E-58E7-4229-99B1-793BE309492D}">
      <text>
        <r>
          <rPr>
            <b/>
            <sz val="9"/>
            <color indexed="81"/>
            <rFont val="Tahoma"/>
            <family val="2"/>
          </rPr>
          <t>Budget phased replacement if leak history is evident.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<sst xmlns="http://schemas.openxmlformats.org/spreadsheetml/2006/main" count="875" uniqueCount="634">
  <si>
    <t>Operating Expenses</t>
  </si>
  <si>
    <t>Interest Rate</t>
  </si>
  <si>
    <t>NET OPERATING INCOME</t>
  </si>
  <si>
    <t>Revenue</t>
  </si>
  <si>
    <t>USES</t>
  </si>
  <si>
    <t>SOURCES</t>
  </si>
  <si>
    <t>Acquisition Price</t>
  </si>
  <si>
    <t>Closing Costs</t>
  </si>
  <si>
    <t>Unlevered Cash Flows</t>
  </si>
  <si>
    <t>Equity</t>
  </si>
  <si>
    <t>NOI Margin</t>
  </si>
  <si>
    <t>Transfer Tax Split</t>
  </si>
  <si>
    <t>Total RSF</t>
  </si>
  <si>
    <t>Total Uses</t>
  </si>
  <si>
    <t>Total Sources</t>
  </si>
  <si>
    <t>Gross Area</t>
  </si>
  <si>
    <t>Item #</t>
  </si>
  <si>
    <t>Item</t>
  </si>
  <si>
    <t>Notes</t>
  </si>
  <si>
    <t>Contingency</t>
  </si>
  <si>
    <t>Insurance</t>
  </si>
  <si>
    <t>BUILDING SPECS AND AREAS</t>
  </si>
  <si>
    <t>PROPERTY OVERVIEW</t>
  </si>
  <si>
    <t>Address:</t>
  </si>
  <si>
    <t>Acres:</t>
  </si>
  <si>
    <t>Lot Area:</t>
  </si>
  <si>
    <t>Zoning:</t>
  </si>
  <si>
    <t>FAR:</t>
  </si>
  <si>
    <t>Lot Dimensions:</t>
  </si>
  <si>
    <t>Date</t>
  </si>
  <si>
    <t>FINANCING</t>
  </si>
  <si>
    <t>Financing Fees</t>
  </si>
  <si>
    <t>Total</t>
  </si>
  <si>
    <t>Target</t>
  </si>
  <si>
    <t>With Financing Costs</t>
  </si>
  <si>
    <t>DEAL EVALUATION</t>
  </si>
  <si>
    <t>Brokers Fee</t>
  </si>
  <si>
    <t>Notes:</t>
  </si>
  <si>
    <t>Loan Start Date</t>
  </si>
  <si>
    <t>Term</t>
  </si>
  <si>
    <t>Loan End Date</t>
  </si>
  <si>
    <t>Loan Amount</t>
  </si>
  <si>
    <t>Amortization</t>
  </si>
  <si>
    <t>Monthly Payment</t>
  </si>
  <si>
    <t>Mo</t>
  </si>
  <si>
    <t>Beginning Balance</t>
  </si>
  <si>
    <t>Interest</t>
  </si>
  <si>
    <t>Principal</t>
  </si>
  <si>
    <t>Ending Balance</t>
  </si>
  <si>
    <t>Principal Payment</t>
  </si>
  <si>
    <t>Interest Payment</t>
  </si>
  <si>
    <t>Gross Sale Price</t>
  </si>
  <si>
    <t xml:space="preserve">  (Less Cost of Sale)</t>
  </si>
  <si>
    <t>Net Sale Price</t>
  </si>
  <si>
    <t>Sales Proceeds After Debt</t>
  </si>
  <si>
    <t>Exit Cap Rate</t>
  </si>
  <si>
    <t>Selling Costs</t>
  </si>
  <si>
    <t>Acquisition Date</t>
  </si>
  <si>
    <t>Return on Cost Evaluation at Stabilization</t>
  </si>
  <si>
    <t>Peak Equity</t>
  </si>
  <si>
    <t>Annual Equity Cash Flows</t>
  </si>
  <si>
    <t>Less Remaining Debt</t>
  </si>
  <si>
    <t>Net Sale Proceeds</t>
  </si>
  <si>
    <t>Returns at Exit Year</t>
  </si>
  <si>
    <t>Hold Period</t>
  </si>
  <si>
    <t>Levered Cash Flows</t>
  </si>
  <si>
    <t>Equity Multiple</t>
  </si>
  <si>
    <t>Exit Scenarios</t>
  </si>
  <si>
    <t>Year Ending</t>
  </si>
  <si>
    <t>Interest Only Loan</t>
  </si>
  <si>
    <t>Loan</t>
  </si>
  <si>
    <t>Levered IRR</t>
  </si>
  <si>
    <t>Parking</t>
  </si>
  <si>
    <t>Retail</t>
  </si>
  <si>
    <t>Total OpEx</t>
  </si>
  <si>
    <t>Rental Income</t>
  </si>
  <si>
    <t>Effective Gross Income</t>
  </si>
  <si>
    <t>Amenity</t>
  </si>
  <si>
    <t>Replacement Reserves</t>
  </si>
  <si>
    <t>NOI After Reserves</t>
  </si>
  <si>
    <t>Debt Service Coverage Ratio (DSCR)</t>
  </si>
  <si>
    <t>City</t>
  </si>
  <si>
    <t>Payroll</t>
  </si>
  <si>
    <t>Marketing</t>
  </si>
  <si>
    <t>Other</t>
  </si>
  <si>
    <t xml:space="preserve">AM Group Multi-Family Residential </t>
  </si>
  <si>
    <t>Mortgage Recoding</t>
  </si>
  <si>
    <t>Financing Costs</t>
  </si>
  <si>
    <t>Property Name</t>
  </si>
  <si>
    <t>Street Address</t>
  </si>
  <si>
    <t>State</t>
  </si>
  <si>
    <t>Amortizing Loan</t>
  </si>
  <si>
    <t>Capitalized Financing Costs (Fees + Interest for 2 Yrs)</t>
  </si>
  <si>
    <t>Unit Type</t>
  </si>
  <si>
    <t># of Units</t>
  </si>
  <si>
    <t>Size (SF)</t>
  </si>
  <si>
    <t>Total/Average</t>
  </si>
  <si>
    <t>Total SF</t>
  </si>
  <si>
    <t>Base Rent Roll Inputs</t>
  </si>
  <si>
    <t>Other Income</t>
  </si>
  <si>
    <t>$/Unit/Mo</t>
  </si>
  <si>
    <t>Total/Yr</t>
  </si>
  <si>
    <t>Total/Mo</t>
  </si>
  <si>
    <t>Adjusted NOI (pre-property tax)</t>
  </si>
  <si>
    <t>% of Price for Assessment</t>
  </si>
  <si>
    <t>Reversion Millage Rate</t>
  </si>
  <si>
    <t>Tax Adjusted Rate Projection at Sale))</t>
  </si>
  <si>
    <t>Additional Tax Adjustments</t>
  </si>
  <si>
    <t>Adjusted Residential Sale Value</t>
  </si>
  <si>
    <t>Adjusted Residential NOI</t>
  </si>
  <si>
    <t>Tax Adjusted Rate</t>
  </si>
  <si>
    <t>Residential</t>
  </si>
  <si>
    <t>NO</t>
  </si>
  <si>
    <t>Other Capitalized Costs</t>
  </si>
  <si>
    <t xml:space="preserve">Term </t>
  </si>
  <si>
    <t>Interest Only Period</t>
  </si>
  <si>
    <t>Interest Only Period?</t>
  </si>
  <si>
    <t>Duration?</t>
  </si>
  <si>
    <t>Annual Payment</t>
  </si>
  <si>
    <t>Unlevered Analysis</t>
  </si>
  <si>
    <t>Levered Analysis</t>
  </si>
  <si>
    <t>Total Unlevered Cash Flows</t>
  </si>
  <si>
    <t>Unlevered IRR</t>
  </si>
  <si>
    <t>Gross Deal Unlevered IRR / Equity Multiple</t>
  </si>
  <si>
    <t>Unlevered Equity Multiple</t>
  </si>
  <si>
    <t>Net Profit (Levered)</t>
  </si>
  <si>
    <t>Net Profit (Unlevered)</t>
  </si>
  <si>
    <t>Income Yield</t>
  </si>
  <si>
    <t>Cash Yield</t>
  </si>
  <si>
    <r>
      <t>Gross Deal Levered IRR / Equity Multiple</t>
    </r>
    <r>
      <rPr>
        <b/>
        <vertAlign val="superscript"/>
        <sz val="11"/>
        <rFont val="Garamond"/>
        <family val="1"/>
      </rPr>
      <t>1</t>
    </r>
  </si>
  <si>
    <t>Project Type</t>
  </si>
  <si>
    <t xml:space="preserve">School </t>
  </si>
  <si>
    <t>County</t>
  </si>
  <si>
    <t>Millage Rate</t>
  </si>
  <si>
    <t>Closing Cost</t>
  </si>
  <si>
    <t>Confidential</t>
  </si>
  <si>
    <t>Purchase Price</t>
  </si>
  <si>
    <t>GSF</t>
  </si>
  <si>
    <t>Pro-Forma</t>
  </si>
  <si>
    <t>% of Acquisition</t>
  </si>
  <si>
    <t>Credit to Seller (Prorations)</t>
  </si>
  <si>
    <t>Credit to Buyer (Prorations)</t>
  </si>
  <si>
    <t>Transfer Taxes</t>
  </si>
  <si>
    <t>Title Insurance Fees</t>
  </si>
  <si>
    <t>Legal Fees</t>
  </si>
  <si>
    <t xml:space="preserve">Appraisal </t>
  </si>
  <si>
    <t>Wire Fees</t>
  </si>
  <si>
    <t>Recording Fees</t>
  </si>
  <si>
    <t>Broker Fees</t>
  </si>
  <si>
    <t>AM Group Acquisition Fee</t>
  </si>
  <si>
    <t>Cost/GSF</t>
  </si>
  <si>
    <t>Operating Statement</t>
  </si>
  <si>
    <t>Rent Roll</t>
  </si>
  <si>
    <t>Tax Adjust Sale Price</t>
  </si>
  <si>
    <t>Reversion Tax Adjustment Calculation</t>
  </si>
  <si>
    <t>LTV Target ex Fees</t>
  </si>
  <si>
    <t>Last Edit</t>
  </si>
  <si>
    <t>Other Income 9</t>
  </si>
  <si>
    <t>Other Income 10</t>
  </si>
  <si>
    <t>Other Income 11</t>
  </si>
  <si>
    <t>Other Income 12</t>
  </si>
  <si>
    <t>Other Income 13</t>
  </si>
  <si>
    <t>Other Income 14</t>
  </si>
  <si>
    <t>Other Income 15</t>
  </si>
  <si>
    <t>Investment Assumption Summary</t>
  </si>
  <si>
    <t>Miscellaneous</t>
  </si>
  <si>
    <t>Gross Market Potential</t>
  </si>
  <si>
    <t>Contract Loss</t>
  </si>
  <si>
    <t>Gross Lease Potential</t>
  </si>
  <si>
    <t>Vacancy</t>
  </si>
  <si>
    <t>Credit Loss</t>
  </si>
  <si>
    <t>Model Units</t>
  </si>
  <si>
    <t>Concessions</t>
  </si>
  <si>
    <t>Net Effective Lease Income</t>
  </si>
  <si>
    <t>Market Rent Growth</t>
  </si>
  <si>
    <t>Month</t>
  </si>
  <si>
    <t>Rehab Vacancy</t>
  </si>
  <si>
    <t>Static Vacancy</t>
  </si>
  <si>
    <t>Trailing 12</t>
  </si>
  <si>
    <t>Annual</t>
  </si>
  <si>
    <t>Capital Expenditures</t>
  </si>
  <si>
    <t>Itemized Capital Expenditures</t>
  </si>
  <si>
    <t>Market Rent</t>
  </si>
  <si>
    <t>Rent PSF</t>
  </si>
  <si>
    <t>Total Base Rent</t>
  </si>
  <si>
    <t>NOI Growth</t>
  </si>
  <si>
    <t>Total Rent Growth</t>
  </si>
  <si>
    <t>Unit Renovation Capital</t>
  </si>
  <si>
    <t>NA</t>
  </si>
  <si>
    <t>R2</t>
  </si>
  <si>
    <t>T12 Cap Rate</t>
  </si>
  <si>
    <t>Yr 2 NOI Yield</t>
  </si>
  <si>
    <t>Property Taxes</t>
  </si>
  <si>
    <t>Other Income 1</t>
  </si>
  <si>
    <t>Other Income 2</t>
  </si>
  <si>
    <t>Other Income 3</t>
  </si>
  <si>
    <t>Other Income 4</t>
  </si>
  <si>
    <t>Other Income 5</t>
  </si>
  <si>
    <t>Other Income 6</t>
  </si>
  <si>
    <t>Other Income 7</t>
  </si>
  <si>
    <t>Other Income 8</t>
  </si>
  <si>
    <t>No.</t>
  </si>
  <si>
    <t>Net Operating Income</t>
  </si>
  <si>
    <t>Real Estate Taxes</t>
  </si>
  <si>
    <t>Management Fee</t>
  </si>
  <si>
    <t>Repairs &amp; Maintenance</t>
  </si>
  <si>
    <t>Total Economic Vacancy</t>
  </si>
  <si>
    <t xml:space="preserve">   Concessions</t>
  </si>
  <si>
    <t>Total Vacancy Loss</t>
  </si>
  <si>
    <t xml:space="preserve">   Model</t>
  </si>
  <si>
    <t xml:space="preserve">   Credit Loss</t>
  </si>
  <si>
    <t xml:space="preserve">   Vacancy</t>
  </si>
  <si>
    <t>Economic Loss (% of Gross Lease Potential)</t>
  </si>
  <si>
    <t>Loss to Lease</t>
  </si>
  <si>
    <t>N/A</t>
  </si>
  <si>
    <t xml:space="preserve">   Gross Lease Potential</t>
  </si>
  <si>
    <t xml:space="preserve">   Gross Market Rent</t>
  </si>
  <si>
    <t>Income Growth Rates</t>
  </si>
  <si>
    <t>Trailing 12 Diagnostics</t>
  </si>
  <si>
    <t>Total Operating Expenses</t>
  </si>
  <si>
    <t>Security / Life Safety</t>
  </si>
  <si>
    <t>Janitorial / Trash</t>
  </si>
  <si>
    <t>Make-ready / Cleaning</t>
  </si>
  <si>
    <t>Landscaping / Grounds</t>
  </si>
  <si>
    <t>General &amp; Administrative</t>
  </si>
  <si>
    <t>Effective Gross Income (EGI)</t>
  </si>
  <si>
    <t>Total Other Income</t>
  </si>
  <si>
    <t>Model</t>
  </si>
  <si>
    <t>Gross Market Rent</t>
  </si>
  <si>
    <t>Investment Year</t>
  </si>
  <si>
    <t>TOTALS</t>
  </si>
  <si>
    <t>TOTAL CAPITAL</t>
  </si>
  <si>
    <t>x</t>
  </si>
  <si>
    <t>SUBTOTAL MISCELLANEOUS CAPITAL</t>
  </si>
  <si>
    <t>Misc #2</t>
  </si>
  <si>
    <t>Misc #1</t>
  </si>
  <si>
    <t>SF</t>
  </si>
  <si>
    <t>Miscellaneous Capital</t>
  </si>
  <si>
    <t>MISCELLANEOUS CAPITAL</t>
  </si>
  <si>
    <t>EA</t>
  </si>
  <si>
    <t>SUBTOTAL ELEVATOR</t>
  </si>
  <si>
    <t>CAB</t>
  </si>
  <si>
    <t>Traction Modernization (&gt;30 Stops)</t>
  </si>
  <si>
    <t>Traction Modernization (&lt;30 Stops)</t>
  </si>
  <si>
    <t>FL</t>
  </si>
  <si>
    <t>Hydraulic Cylinder/Plunger Replacement</t>
  </si>
  <si>
    <t>Hydraulic Modernization</t>
  </si>
  <si>
    <t>ELEVATOR</t>
  </si>
  <si>
    <t>SUBTOTAL PAINTING</t>
  </si>
  <si>
    <t>APT</t>
  </si>
  <si>
    <t>50% Brick with siding or stucco combination</t>
  </si>
  <si>
    <t>100% Brick - (trim only)</t>
  </si>
  <si>
    <t>100% Siding or siding/stucco combination</t>
  </si>
  <si>
    <t>100% Stucco - with Elastometric Paints</t>
  </si>
  <si>
    <t>100% Stucco - with Acrylic Paints</t>
  </si>
  <si>
    <t>PAINTING</t>
  </si>
  <si>
    <t>SUBTOTAL ROOF</t>
  </si>
  <si>
    <t>Flat Membrane</t>
  </si>
  <si>
    <t>Tile</t>
  </si>
  <si>
    <t>Asphalt Shingle (incl. $.50 for north climate)</t>
  </si>
  <si>
    <t>ROOF</t>
  </si>
  <si>
    <t>SUBTOTAL POOL</t>
  </si>
  <si>
    <t>Heaters</t>
  </si>
  <si>
    <t>Pumps/Filters</t>
  </si>
  <si>
    <t>Plaster</t>
  </si>
  <si>
    <t>POOL</t>
  </si>
  <si>
    <t>SUBTOTAL SITE WORK</t>
  </si>
  <si>
    <t>Full Depth Repair</t>
  </si>
  <si>
    <t>Period Seal Coat</t>
  </si>
  <si>
    <t>SITE WORK</t>
  </si>
  <si>
    <t>END</t>
  </si>
  <si>
    <t>SPREAD</t>
  </si>
  <si>
    <t>YEAR</t>
  </si>
  <si>
    <t>START</t>
  </si>
  <si>
    <t>USEFUL LIFE</t>
  </si>
  <si>
    <t>YR REPLACED
(IF KNOWN)</t>
  </si>
  <si>
    <t>TOTAL</t>
  </si>
  <si>
    <t>MARK-UP</t>
  </si>
  <si>
    <t>UNITS</t>
  </si>
  <si>
    <t>UNIT</t>
  </si>
  <si>
    <t>STD UW</t>
  </si>
  <si>
    <t>LINE ITEM</t>
  </si>
  <si>
    <t>MANUAL INPUT METHOD</t>
  </si>
  <si>
    <t>USEFUL LIFE METHOD</t>
  </si>
  <si>
    <t>TIMING CALCULATION</t>
  </si>
  <si>
    <t>CALCULATIONS</t>
  </si>
  <si>
    <t>CAPITAL DESCRIPTION</t>
  </si>
  <si>
    <t>feet</t>
  </si>
  <si>
    <t>Indoor Parking:</t>
  </si>
  <si>
    <t>Outdoor Parking:</t>
  </si>
  <si>
    <t>Height Per Floor (Estimate):</t>
  </si>
  <si>
    <t>Floors:</t>
  </si>
  <si>
    <t>Number of Apartments:</t>
  </si>
  <si>
    <t>Envelope SF:</t>
  </si>
  <si>
    <t>RSF:</t>
  </si>
  <si>
    <t>PROPERTY FACTS</t>
  </si>
  <si>
    <t>Use Rehab Costs/New Mkt Rent?</t>
  </si>
  <si>
    <t>Market Rents after Rehabilitation</t>
  </si>
  <si>
    <t>Units</t>
  </si>
  <si>
    <t>%</t>
  </si>
  <si>
    <t>Sq Ft</t>
  </si>
  <si>
    <t>Current Mkt Rent</t>
  </si>
  <si>
    <t>Current Base Rent</t>
  </si>
  <si>
    <t>Inc / Unit</t>
  </si>
  <si>
    <t>New Mkt Rent</t>
  </si>
  <si>
    <t>New 
Base Rent</t>
  </si>
  <si>
    <t>Rent/SF</t>
  </si>
  <si>
    <t>Units Rehabbed</t>
  </si>
  <si>
    <t>Rehab Expense/Unit</t>
  </si>
  <si>
    <t>Rehab Costs</t>
  </si>
  <si>
    <t>Bump</t>
  </si>
  <si>
    <t>Growth</t>
  </si>
  <si>
    <t>Rehab Lease-Up</t>
  </si>
  <si>
    <t>Mkt Rent Growth</t>
  </si>
  <si>
    <t>Factor</t>
  </si>
  <si>
    <t>Occ</t>
  </si>
  <si>
    <t>Rehab</t>
  </si>
  <si>
    <t>Total Rehab</t>
  </si>
  <si>
    <t>New</t>
  </si>
  <si>
    <t>New Leases</t>
  </si>
  <si>
    <t>Base</t>
  </si>
  <si>
    <t>Rent</t>
  </si>
  <si>
    <t>Total Monthly</t>
  </si>
  <si>
    <t>Total Rent</t>
  </si>
  <si>
    <t>Leases</t>
  </si>
  <si>
    <t>Occ %</t>
  </si>
  <si>
    <t>Costs</t>
  </si>
  <si>
    <t>Yr 1 Avg Occupancy</t>
  </si>
  <si>
    <t>Yr 2 Avg Occupancy</t>
  </si>
  <si>
    <t>Yr 3 Avg Occupancy</t>
  </si>
  <si>
    <t>Yr 4 Avg Occupancy</t>
  </si>
  <si>
    <t>Yr 5 Avg Occupancy</t>
  </si>
  <si>
    <t>Yr 6 Avg Occupancy</t>
  </si>
  <si>
    <t>Yr 7 Avg Occupancy</t>
  </si>
  <si>
    <t>Yr 8 Avg Occupancy</t>
  </si>
  <si>
    <t>Yr 9 Avg Occupancy</t>
  </si>
  <si>
    <t>Yr 10 Avg Occupancy</t>
  </si>
  <si>
    <t>Yr 11 Avg Occupancy</t>
  </si>
  <si>
    <t>Base Rent</t>
  </si>
  <si>
    <t>Bedroom</t>
  </si>
  <si>
    <t/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</si>
  <si>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</si>
  <si>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</si>
  <si>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</si>
  <si>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</si>
  <si>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</si>
  <si>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</si>
  <si>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</si>
  <si>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</si>
  <si>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</si>
  <si>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</si>
  <si>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</si>
  <si>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</si>
  <si>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Totals</t>
  </si>
  <si>
    <t>##</t>
  </si>
  <si>
    <t>Elevators</t>
  </si>
  <si>
    <t>Misc</t>
  </si>
  <si>
    <t>Utilities / Plumbing</t>
  </si>
  <si>
    <t>Garage</t>
  </si>
  <si>
    <t>Fees</t>
  </si>
  <si>
    <t>1 Bed/ 1 Bath</t>
  </si>
  <si>
    <t>T12 - First Month</t>
  </si>
  <si>
    <t>T12 Other Income</t>
  </si>
  <si>
    <t>Add/Subtract</t>
  </si>
  <si>
    <t>ADD</t>
  </si>
  <si>
    <t>Yr 1 Entry Cap Rate</t>
  </si>
  <si>
    <t>Cap Rate</t>
  </si>
  <si>
    <t>Description</t>
  </si>
  <si>
    <t>12 Month Total</t>
  </si>
  <si>
    <t>INCOME</t>
  </si>
  <si>
    <t>RENTAL INCOME</t>
  </si>
  <si>
    <t>MARKET RENT</t>
  </si>
  <si>
    <t>LOSS/GAIN TO LEASE</t>
  </si>
  <si>
    <t>VACANCY</t>
  </si>
  <si>
    <t>MANAGEMENT OFFICE/MODEL</t>
  </si>
  <si>
    <t>NET RENTAL INCOME</t>
  </si>
  <si>
    <t>OTHER INCOME</t>
  </si>
  <si>
    <t>LATE CHARGES</t>
  </si>
  <si>
    <t>NSF FEE</t>
  </si>
  <si>
    <t>APPLICATION FEES</t>
  </si>
  <si>
    <t>ADMINISTRATIVE FEE</t>
  </si>
  <si>
    <t>TENANT DAMAGE REIMBURSEMENT</t>
  </si>
  <si>
    <t>UTILITIES RECOVERY</t>
  </si>
  <si>
    <t>TELEPHONE INCOME</t>
  </si>
  <si>
    <t>CABLE INCOME</t>
  </si>
  <si>
    <t>CABLE INCOME - DEFERRED</t>
  </si>
  <si>
    <t>LAUNDRY INCOME</t>
  </si>
  <si>
    <t>COURT COST REIMBURSEMENT</t>
  </si>
  <si>
    <t>TERMINATION FEE</t>
  </si>
  <si>
    <t>PET FEES</t>
  </si>
  <si>
    <t>PET RENT</t>
  </si>
  <si>
    <t>DEPOSIT WAIVER</t>
  </si>
  <si>
    <t>RENTER'S INSURANCE INCOME</t>
  </si>
  <si>
    <t>RENTER'S INSURANCE EXPENSE</t>
  </si>
  <si>
    <t>UTILITY FEE REIMBURSEMENT</t>
  </si>
  <si>
    <t>WATER/SEWER REIMBURSEMENT</t>
  </si>
  <si>
    <t>TRASH REIMBURSEMENT</t>
  </si>
  <si>
    <t>TOTAL OTHER INCOME</t>
  </si>
  <si>
    <t>BAD DEBT - NET</t>
  </si>
  <si>
    <t>BAD DEBT COLLECTED - OTHER INCOME</t>
  </si>
  <si>
    <t>BAD DEBT WRITE\OFF</t>
  </si>
  <si>
    <t>BAD DEBT COLLECTED</t>
  </si>
  <si>
    <t>BAD DEBT COLLECTED - RECOVERY</t>
  </si>
  <si>
    <t>BAD DEBT ADJUSTMENTS</t>
  </si>
  <si>
    <t>TOTAL BAD DEBT - NET</t>
  </si>
  <si>
    <t>TOTAL INCOME</t>
  </si>
  <si>
    <t>EXPENSES</t>
  </si>
  <si>
    <t>RENTING EXPENSE</t>
  </si>
  <si>
    <t>PROMOTIONAL MATERIALS</t>
  </si>
  <si>
    <t>MARKETING COLLATERAL</t>
  </si>
  <si>
    <t>ONLINE ADVERTISING</t>
  </si>
  <si>
    <t>SPECIALTY MARKETING</t>
  </si>
  <si>
    <t>MARKETING SIGNAGE</t>
  </si>
  <si>
    <t>MARKETING PERFORMANCE MEASUREMENT (MPM) &amp; LEAD MGM</t>
  </si>
  <si>
    <t>COMMUNITY FUNCTIONS</t>
  </si>
  <si>
    <t>NEWSLETTERS/FLYERS</t>
  </si>
  <si>
    <t>TOTAL RENTING EXPENSE</t>
  </si>
  <si>
    <t>ADMINISTRATIVE COSTS</t>
  </si>
  <si>
    <t>OFFICE SUPPLIES</t>
  </si>
  <si>
    <t>TRAINING/SEMINARS</t>
  </si>
  <si>
    <t>CAREER APPAREL</t>
  </si>
  <si>
    <t>TRAVEL</t>
  </si>
  <si>
    <t>DUES/SUBSCRIPTIONS</t>
  </si>
  <si>
    <t>BLUE MOON LICENSE</t>
  </si>
  <si>
    <t>CREDIT REPORTS</t>
  </si>
  <si>
    <t>LEGAL EXPENSE</t>
  </si>
  <si>
    <t>MRI FEES</t>
  </si>
  <si>
    <t>LRO FEES</t>
  </si>
  <si>
    <t>TELEPHONE - LOCAL LINES</t>
  </si>
  <si>
    <t>INTEREST EXPENSE</t>
  </si>
  <si>
    <t>BANK FEES</t>
  </si>
  <si>
    <t>TECHNOLOGY COSTS</t>
  </si>
  <si>
    <t>TOTAL ADMIN. COSTS</t>
  </si>
  <si>
    <t>MANAGEMENT FEES</t>
  </si>
  <si>
    <t>MANAGEMENT FEE - OTHER</t>
  </si>
  <si>
    <t>TOTAL MANAGEMENT FEES</t>
  </si>
  <si>
    <t>SALARIES &amp; BENEFITS</t>
  </si>
  <si>
    <t>PROPERTY MANAGER/ADMINISTRATOR</t>
  </si>
  <si>
    <t>OFFICE OVERTIME</t>
  </si>
  <si>
    <t>ASSISTANT MGR/LEASING AGENT</t>
  </si>
  <si>
    <t>MAINTENANCE/ENGINEER/SUPERVISOR</t>
  </si>
  <si>
    <t>MAINTENANCE OVERTIME</t>
  </si>
  <si>
    <t>MAINTENANCE PAYROLL</t>
  </si>
  <si>
    <t>TEMPORARY EMPLOYMENT</t>
  </si>
  <si>
    <t>LEASING BONUSES</t>
  </si>
  <si>
    <t>FRINGE BENEFITS</t>
  </si>
  <si>
    <t>WORKERS COMP INSURANCE</t>
  </si>
  <si>
    <t>PAYROLL TAXES</t>
  </si>
  <si>
    <t>RECRUITING EXPENSE</t>
  </si>
  <si>
    <t>PAYROLL PROCESSING</t>
  </si>
  <si>
    <t>TOTAL SALARIES &amp; BENEFITS</t>
  </si>
  <si>
    <t>SERVICE CONTRACTS</t>
  </si>
  <si>
    <t>TOTAL SERVICE CONTRACTS</t>
  </si>
  <si>
    <t>CONTRACT REPAIRS</t>
  </si>
  <si>
    <t>GROUNDS</t>
  </si>
  <si>
    <t>FIRE PUMP TESTING</t>
  </si>
  <si>
    <t>UNIT CLEANS - TURN</t>
  </si>
  <si>
    <t>SNOW REMOVAL</t>
  </si>
  <si>
    <t>PLUMBING</t>
  </si>
  <si>
    <t>CARPET REPAIR/CLEANING - TURN</t>
  </si>
  <si>
    <t>EXTERMINATING CONTRACT</t>
  </si>
  <si>
    <t>INTERIOR PAINT - TURN</t>
  </si>
  <si>
    <t>OTHER BUILDING MAINTENANCE</t>
  </si>
  <si>
    <t>TOTAL CONTRACT REPAIRS</t>
  </si>
  <si>
    <t>MAINT/REPAIR SUPPLIES</t>
  </si>
  <si>
    <t>GROUND SUPPLIES</t>
  </si>
  <si>
    <t>JANITORIAL SUPPLIES</t>
  </si>
  <si>
    <t>ELECTRICAL SUPPLIES</t>
  </si>
  <si>
    <t>PLUMBING SUPPLIES</t>
  </si>
  <si>
    <t>BUILDING REPAIRS</t>
  </si>
  <si>
    <t>SCREENS</t>
  </si>
  <si>
    <t>INTERIOR PAINT SUPPLIES - TURN</t>
  </si>
  <si>
    <t>FILTERS</t>
  </si>
  <si>
    <t>HVAC PARTS</t>
  </si>
  <si>
    <t>APPLIANCE PARTS</t>
  </si>
  <si>
    <t>TOOLS &amp; EQUIPMENT</t>
  </si>
  <si>
    <t>UNIFORMS</t>
  </si>
  <si>
    <t>TOTAL MAINT/REPAIR SUPPLIES</t>
  </si>
  <si>
    <t>TOTAL VARIABLE EXPENSE</t>
  </si>
  <si>
    <t>UTILITIES</t>
  </si>
  <si>
    <t>TRASH REMOVAL</t>
  </si>
  <si>
    <t>ELECTRICITY - COMMON AREA</t>
  </si>
  <si>
    <t>ELECTRICITY - VACANT</t>
  </si>
  <si>
    <t>RECOVERABLE ELEC/GAS/WATER</t>
  </si>
  <si>
    <t>WATER</t>
  </si>
  <si>
    <t>SEWAGE</t>
  </si>
  <si>
    <t>UTILITY BILLING EXPENSE</t>
  </si>
  <si>
    <t>TOTAL UTILITIES</t>
  </si>
  <si>
    <t>TAXES</t>
  </si>
  <si>
    <t>REAL ESTATE TAXES</t>
  </si>
  <si>
    <t>OTHER TAXES &amp; FEES</t>
  </si>
  <si>
    <t>TOTAL TAXES</t>
  </si>
  <si>
    <t>INSURANCE</t>
  </si>
  <si>
    <t>LIABILITY INSURANCE</t>
  </si>
  <si>
    <t>PROPERTY INSURANCE</t>
  </si>
  <si>
    <t>TOTAL INSURANCE</t>
  </si>
  <si>
    <t>TOTAL FIXED EXPENSES</t>
  </si>
  <si>
    <t>TOTAL OPERATING EXPENSES</t>
  </si>
  <si>
    <t>NET CAPITAL IMPROVEMENTS</t>
  </si>
  <si>
    <t>CAPITAL IMPROVEMENTS</t>
  </si>
  <si>
    <t>INTERIOR REPAIRS</t>
  </si>
  <si>
    <t>MISCELLANEOUS</t>
  </si>
  <si>
    <t>HVAC</t>
  </si>
  <si>
    <t>REFRIGERATORS</t>
  </si>
  <si>
    <t>RANGES</t>
  </si>
  <si>
    <t>DISHWASHERS</t>
  </si>
  <si>
    <t>DISPOSALS</t>
  </si>
  <si>
    <t>CARPETS &amp; VINYL - TURN</t>
  </si>
  <si>
    <t>HOT WATER HEATERS</t>
  </si>
  <si>
    <t>PLUMBING/ELECTRICAL FIXTURES</t>
  </si>
  <si>
    <t>ASPHALT REPAIRS/SEAL COAT</t>
  </si>
  <si>
    <t>CONCRETE WALKWAYS</t>
  </si>
  <si>
    <t>CONCRETE FLATWORK</t>
  </si>
  <si>
    <t>MISC STRUCTURAL</t>
  </si>
  <si>
    <t>ROOFING &amp; EAVES</t>
  </si>
  <si>
    <t>EXTERIOR CARPENTRY/WOOD REPAIR</t>
  </si>
  <si>
    <t>LANDSCAPING</t>
  </si>
  <si>
    <t>CONSTRUCTION MANAGEMENT</t>
  </si>
  <si>
    <t>TOTAL CAPITAL IMPROVEMENTS</t>
  </si>
  <si>
    <t>TENANT/LEASING COSTS</t>
  </si>
  <si>
    <t>TOTAL TENANT/LEASING COSTS</t>
  </si>
  <si>
    <t>NET CAPITAL RESERVES</t>
  </si>
  <si>
    <t>REPLACEMENT RESERVE (LENDER)</t>
  </si>
  <si>
    <t>REPAIR/REHAB RESERVE/HOLDBACK (LENDER)</t>
  </si>
  <si>
    <t>CAPITAL RESERVE (LENDER)</t>
  </si>
  <si>
    <t>CAPITAL RESERVE - INTERNAL</t>
  </si>
  <si>
    <t>OTHER RESERVES III (LENDER)</t>
  </si>
  <si>
    <t>TOTAL NET CAPITAL RESERVES</t>
  </si>
  <si>
    <t>TOTAL NET CAPITAL IMPROVEMENTS</t>
  </si>
  <si>
    <t>INTEREST EXPENSE AND PRINCIPAL PAYMENTS</t>
  </si>
  <si>
    <t>FIRST MORTGAGE</t>
  </si>
  <si>
    <t>SWAP/CAP PAYMENT</t>
  </si>
  <si>
    <t>TOTAL INTEREST EXPENSE</t>
  </si>
  <si>
    <t>PRINCIPAL PAYMENTS</t>
  </si>
  <si>
    <t>TOTAL PRINCIPAL PAYMENTS</t>
  </si>
  <si>
    <t>TOTAL INTEREST AND PRINCIPAL</t>
  </si>
  <si>
    <t>PAYMENTS</t>
  </si>
  <si>
    <t>PARTNERSHIP AND OWNERS EXPENSES</t>
  </si>
  <si>
    <t>AUDIT &amp; TAX RETURN FEES</t>
  </si>
  <si>
    <t>ASSET MANAGEMENT FEES</t>
  </si>
  <si>
    <t>PARTNERSHIP EXPENSE</t>
  </si>
  <si>
    <t>TOTAL PARTNERSHIP AND</t>
  </si>
  <si>
    <t>OWNERS EXPENSES</t>
  </si>
  <si>
    <t>NET OPERATING ACTIVITY</t>
  </si>
  <si>
    <t>Water / Sewer Reimbursement</t>
  </si>
  <si>
    <t>Trash Reimbursement</t>
  </si>
  <si>
    <t>Late Charges</t>
  </si>
  <si>
    <t>Cable Income</t>
  </si>
  <si>
    <t>Utility Fee Reimbursement</t>
  </si>
  <si>
    <t>Administrative Fees</t>
  </si>
  <si>
    <t>Pet Rent / Fees</t>
  </si>
  <si>
    <t>Studio</t>
  </si>
  <si>
    <t>2 Bed/ 1 Bath</t>
  </si>
  <si>
    <t>2 Bed/ 2 Bath</t>
  </si>
  <si>
    <t>Valleyfield Apartments</t>
  </si>
  <si>
    <t>3520 Washington Pike</t>
  </si>
  <si>
    <t>Bridgeville</t>
  </si>
  <si>
    <t>PA</t>
  </si>
  <si>
    <t>Entry Cap Rate</t>
  </si>
  <si>
    <t>Discount</t>
  </si>
  <si>
    <t>Current Value</t>
  </si>
  <si>
    <t xml:space="preserve">CLR </t>
  </si>
  <si>
    <t>Current Tax Bill</t>
  </si>
  <si>
    <t>Assessed Value</t>
  </si>
  <si>
    <t>Future Tax Bill</t>
  </si>
  <si>
    <t>Increase from year 4</t>
  </si>
  <si>
    <t>Paid Value</t>
  </si>
  <si>
    <t>Yes</t>
  </si>
  <si>
    <t>Offering Memorandum</t>
  </si>
  <si>
    <t>Complex Name</t>
  </si>
  <si>
    <t>Total # of Units</t>
  </si>
  <si>
    <t>Year Built</t>
  </si>
  <si>
    <t>Occupancy Rat</t>
  </si>
  <si>
    <t>Avg Mkt Rent</t>
  </si>
  <si>
    <t>Avg Unit SF</t>
  </si>
  <si>
    <t xml:space="preserve">Avg Rent SF </t>
  </si>
  <si>
    <t>Mkt Rent</t>
  </si>
  <si>
    <t>Unit SF</t>
  </si>
  <si>
    <t>Rent SF</t>
  </si>
  <si>
    <t>One Bed</t>
  </si>
  <si>
    <t>Two Bed</t>
  </si>
  <si>
    <t>Hunters Path</t>
  </si>
  <si>
    <t>Highfield Crossing</t>
  </si>
  <si>
    <t>The Residences on McMurray</t>
  </si>
  <si>
    <t>Heritage Meadows</t>
  </si>
  <si>
    <t>Springhouse Communities</t>
  </si>
  <si>
    <t>2b1ba</t>
  </si>
  <si>
    <t>Rehab Rent</t>
  </si>
  <si>
    <t>1b1ba</t>
  </si>
  <si>
    <t>2b1.5ba</t>
  </si>
  <si>
    <t>Valleyfield</t>
  </si>
  <si>
    <t>Rehab Avg Premium</t>
  </si>
  <si>
    <t>Increase</t>
  </si>
  <si>
    <t>*offering one month free rent concession</t>
  </si>
  <si>
    <t>Comp Average</t>
  </si>
  <si>
    <t>2x1</t>
  </si>
  <si>
    <t>2x2</t>
  </si>
  <si>
    <t xml:space="preserve">Current </t>
  </si>
  <si>
    <t xml:space="preserve">Additional </t>
  </si>
  <si>
    <t>Purchasing Own Property</t>
  </si>
  <si>
    <t>House</t>
  </si>
  <si>
    <t>Condo</t>
  </si>
  <si>
    <t>Sales Price</t>
  </si>
  <si>
    <t>LTV</t>
  </si>
  <si>
    <t>Payment</t>
  </si>
  <si>
    <t>DTI Ratio</t>
  </si>
  <si>
    <t>Monthly Inc</t>
  </si>
  <si>
    <t>Annual Inc</t>
  </si>
  <si>
    <t>Down Pmt</t>
  </si>
  <si>
    <t>Total Cap Ex</t>
  </si>
  <si>
    <t>Capital Expenditure Spend</t>
  </si>
  <si>
    <t>Leveraged IRR decreases as capital expenditure goes over budget</t>
  </si>
  <si>
    <t>*Model Assumption of Projected Lev IRR of 11.5% with $1,205,407 Capital Expenditure</t>
  </si>
  <si>
    <t>CapEx Spend</t>
  </si>
  <si>
    <t>% of Budgeted</t>
  </si>
  <si>
    <t>Renovation Rent Increase</t>
  </si>
  <si>
    <t>Rehab Cost</t>
  </si>
  <si>
    <t>needed return</t>
  </si>
  <si>
    <t>rent increase</t>
  </si>
  <si>
    <t>Monthly increase</t>
  </si>
  <si>
    <t>Rent Increase</t>
  </si>
  <si>
    <t>Return on Cost</t>
  </si>
  <si>
    <t>monthly</t>
  </si>
  <si>
    <t>calculating return on cost</t>
  </si>
  <si>
    <t>calculating needed rent increase</t>
  </si>
  <si>
    <t>Purchase</t>
  </si>
  <si>
    <t>T12</t>
  </si>
  <si>
    <t>Exit Cap</t>
  </si>
  <si>
    <t>T12 Cap</t>
  </si>
  <si>
    <t>T3-T12 Cap</t>
  </si>
  <si>
    <t>Going In Cap</t>
  </si>
  <si>
    <t>IRR</t>
  </si>
  <si>
    <t>Years</t>
  </si>
  <si>
    <t>Ian Gillespie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</si>
</sst>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&quot;Year&quot;\ 0"/>
    <numFmt numFmtId="168" formatCode="_(&quot;$&quot;* #,##0_);_(&quot;$&quot;* \(#,##0\);_(&quot;$&quot;* &quot;-&quot;??_);_(@_)"/>
    <numFmt numFmtId="169" formatCode="&quot;$&quot;0\ &quot;/GSF&quot;"/>
    <numFmt numFmtId="170" formatCode="[$-409]mmmm\-yy;@"/>
    <numFmt numFmtId="171" formatCode="0\ &quot;years&quot;"/>
    <numFmt numFmtId="172" formatCode="_(&quot;$&quot;* #,##0.00_);_(&quot;$&quot;* \(#,##0.00\);_(&quot;$&quot;* &quot;-&quot;?????_);_(@_)"/>
    <numFmt numFmtId="173" formatCode="[$-409]mmm\-yy;@"/>
    <numFmt numFmtId="174" formatCode="[=1]&quot;No&quot;;[=-1]&quot;Yes&quot;"/>
    <numFmt numFmtId="175" formatCode="&quot;$&quot;#,##0;;&quot;&quot;"/>
    <numFmt numFmtId="176" formatCode="#,##0;\(#,##0\);&quot;--&quot;"/>
    <numFmt numFmtId="177" formatCode="&quot;Month&quot;\ 0"/>
    <numFmt numFmtId="178" formatCode="0.00\x"/>
    <numFmt numFmtId="179" formatCode="&quot;$&quot;#,##0;\(&quot;$&quot;#,##0\);&quot;--&quot;"/>
    <numFmt numFmtId="180" formatCode="0\ &quot;Years&quot;"/>
    <numFmt numFmtId="181" formatCode="0.00&quot;x&quot;"/>
    <numFmt numFmtId="182" formatCode="#,##0\ &quot;SF&quot;"/>
    <numFmt numFmtId="183" formatCode="&quot;$&quot;0.0\ &quot;/GSF&quot;"/>
    <numFmt numFmtId="184" formatCode="_(* #,##0_);_(* \(#,##0\);_(* &quot;-&quot;??_);_(@_)"/>
    <numFmt numFmtId="185" formatCode="_(* #,##0.0000000000_);_(* \(#,##0.0000000000\);_(* &quot;-&quot;??????????_);_(@_)"/>
    <numFmt numFmtId="186" formatCode="&quot;Checks&quot;"/>
    <numFmt numFmtId="187" formatCode="_(* #,##0.00_);_(* \(#,##0.00\);_(* &quot;-&quot;_);_(@_)"/>
    <numFmt numFmtId="188" formatCode="0&quot; Year Hold&quot;"/>
    <numFmt numFmtId="189" formatCode="0&quot; Year Hold, No Refi&quot;"/>
    <numFmt numFmtId="190" formatCode="0&quot; Bedroom&quot;"/>
    <numFmt numFmtId="191" formatCode="&quot;$&quot;0,000&quot;/unit&quot;"/>
    <numFmt numFmtId="192" formatCode="_(* #,##0.0000_);_(* \(#,##0.0000\);_(* &quot;-&quot;??_);_(@_)"/>
    <numFmt numFmtId="193" formatCode="_(* #,##0.00000_);_(* \(#,##0.00000\);_(* &quot;-&quot;??_);_(@_)"/>
    <numFmt numFmtId="194" formatCode="0&quot; Months&quot;"/>
    <numFmt numFmtId="195" formatCode="00,000\ &quot;GSF&quot;"/>
    <numFmt numFmtId="196" formatCode="&quot;$&quot;0\ &quot;/SF&quot;"/>
    <numFmt numFmtId="197" formatCode="&quot;Yr &quot;0"/>
    <numFmt numFmtId="198" formatCode="0.000"/>
    <numFmt numFmtId="199" formatCode="0.000%"/>
    <numFmt numFmtId="200" formatCode="_(&quot;$&quot;* #,##0.00_);_(&quot;$&quot;* \(#,##0.00\);_(&quot;$&quot;* &quot;-&quot;_);_(@_)"/>
    <numFmt numFmtId="201" formatCode="#,##0;&quot;(&quot;#,##0&quot;)&quot;"/>
    <numFmt numFmtId="202" formatCode="#,##0;#,##0"/>
    <numFmt numFmtId="203" formatCode="mmmm"/>
    <numFmt numFmtId="204" formatCode="#,##0.0;#,##0.0"/>
    <numFmt numFmtId="205" formatCode="m/d/yy\ \ \ \ \ \ \ \ \ \ \ h:mm\ AM/PM"/>
    <numFmt numFmtId="206" formatCode="&quot;YEAR&quot;\ 00"/>
    <numFmt numFmtId="207" formatCode="00\ &quot;YRS&quot;"/>
    <numFmt numFmtId="208" formatCode="&quot;$&quot;00\ &quot;/ unit&quot;"/>
    <numFmt numFmtId="209" formatCode="0.0000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Garamond"/>
      <family val="1"/>
    </font>
    <font>
      <sz val="7"/>
      <name val="Optima"/>
      <family val="2"/>
    </font>
    <font>
      <sz val="10"/>
      <name val="Garamond"/>
      <family val="1"/>
    </font>
    <font>
      <sz val="10"/>
      <color rgb="FF0000FF"/>
      <name val="Garamond"/>
      <family val="1"/>
    </font>
    <font>
      <b/>
      <sz val="10"/>
      <name val="Garamond"/>
      <family val="1"/>
    </font>
    <font>
      <b/>
      <sz val="16"/>
      <color theme="0"/>
      <name val="Garamond"/>
      <family val="1"/>
    </font>
    <font>
      <b/>
      <sz val="12"/>
      <color theme="0"/>
      <name val="Garamond"/>
      <family val="1"/>
    </font>
    <font>
      <b/>
      <sz val="11"/>
      <color theme="0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b/>
      <sz val="11"/>
      <color theme="4"/>
      <name val="Garamond"/>
      <family val="1"/>
    </font>
    <font>
      <b/>
      <sz val="11"/>
      <color theme="3" tint="0.39997558519241921"/>
      <name val="Garamond"/>
      <family val="1"/>
    </font>
    <font>
      <b/>
      <sz val="10"/>
      <color rgb="FFFF0000"/>
      <name val="Garamond"/>
      <family val="1"/>
    </font>
    <font>
      <b/>
      <sz val="11"/>
      <color rgb="FFFF0000"/>
      <name val="Garamond"/>
      <family val="1"/>
    </font>
    <font>
      <b/>
      <sz val="10"/>
      <color rgb="FF0070C0"/>
      <name val="Garamond"/>
      <family val="1"/>
    </font>
    <font>
      <u/>
      <sz val="11"/>
      <name val="Garamond"/>
      <family val="1"/>
    </font>
    <font>
      <b/>
      <sz val="11"/>
      <color rgb="FF0070C0"/>
      <name val="Garamond"/>
      <family val="1"/>
    </font>
    <font>
      <i/>
      <sz val="11"/>
      <name val="Garamond"/>
      <family val="1"/>
    </font>
    <font>
      <sz val="11"/>
      <color rgb="FFFF0000"/>
      <name val="Garamond"/>
      <family val="1"/>
    </font>
    <font>
      <sz val="11"/>
      <color theme="1"/>
      <name val="Garamond"/>
      <family val="1"/>
    </font>
    <font>
      <b/>
      <vertAlign val="superscript"/>
      <sz val="11"/>
      <name val="Garamond"/>
      <family val="1"/>
    </font>
    <font>
      <b/>
      <sz val="14"/>
      <color theme="0"/>
      <name val="Garamond"/>
      <family val="1"/>
    </font>
    <font>
      <b/>
      <u/>
      <sz val="10"/>
      <name val="Garamond"/>
      <family val="1"/>
    </font>
    <font>
      <sz val="10"/>
      <color theme="6" tint="-0.499984740745262"/>
      <name val="Garamond"/>
      <family val="1"/>
    </font>
    <font>
      <b/>
      <sz val="11"/>
      <color rgb="FF00B0F0"/>
      <name val="Garamond"/>
      <family val="1"/>
    </font>
    <font>
      <sz val="11"/>
      <color rgb="FF0000F0"/>
      <name val="Garamond"/>
      <family val="1"/>
    </font>
    <font>
      <u/>
      <sz val="11"/>
      <color theme="1"/>
      <name val="Garamond"/>
      <family val="1"/>
    </font>
    <font>
      <i/>
      <sz val="11"/>
      <color theme="1"/>
      <name val="Garamond"/>
      <family val="1"/>
    </font>
    <font>
      <sz val="11"/>
      <color rgb="FF0000FF"/>
      <name val="Garamond"/>
      <family val="1"/>
    </font>
    <font>
      <i/>
      <sz val="11"/>
      <color rgb="FF0070C0"/>
      <name val="Garamond"/>
      <family val="1"/>
    </font>
    <font>
      <sz val="11"/>
      <color indexed="12"/>
      <name val="Garamond"/>
      <family val="1"/>
    </font>
    <font>
      <i/>
      <sz val="11"/>
      <color rgb="FF0000FF"/>
      <name val="Garamond"/>
      <family val="1"/>
    </font>
    <font>
      <b/>
      <i/>
      <sz val="11"/>
      <color rgb="FFFF0000"/>
      <name val="Garamond"/>
      <family val="1"/>
    </font>
    <font>
      <sz val="11"/>
      <color rgb="FF0070C0"/>
      <name val="Garamond"/>
      <family val="1"/>
    </font>
    <font>
      <b/>
      <i/>
      <sz val="11"/>
      <color rgb="FF0070C0"/>
      <name val="Garamond"/>
      <family val="1"/>
    </font>
    <font>
      <b/>
      <u/>
      <sz val="11"/>
      <name val="Garamond"/>
      <family val="1"/>
    </font>
    <font>
      <sz val="11"/>
      <color theme="3" tint="0.39997558519241921"/>
      <name val="Garamond"/>
      <family val="1"/>
    </font>
    <font>
      <sz val="7"/>
      <name val="Garamond"/>
      <family val="1"/>
    </font>
    <font>
      <b/>
      <sz val="7"/>
      <color theme="3" tint="0.39997558519241921"/>
      <name val="Garamond"/>
      <family val="1"/>
    </font>
    <font>
      <sz val="7"/>
      <color theme="1"/>
      <name val="Garamond"/>
      <family val="1"/>
    </font>
    <font>
      <b/>
      <sz val="7"/>
      <name val="Garamond"/>
      <family val="1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b/>
      <i/>
      <sz val="12"/>
      <color theme="0"/>
      <name val="Garamond"/>
      <family val="1"/>
    </font>
    <font>
      <b/>
      <sz val="16"/>
      <color indexed="9"/>
      <name val="Garamond"/>
      <family val="1"/>
    </font>
    <font>
      <b/>
      <sz val="11"/>
      <color indexed="9"/>
      <name val="Garamond"/>
      <family val="1"/>
    </font>
    <font>
      <b/>
      <i/>
      <sz val="11"/>
      <name val="Garamond"/>
      <family val="1"/>
    </font>
    <font>
      <sz val="11"/>
      <color rgb="FFC00000"/>
      <name val="Garamond"/>
      <family val="1"/>
    </font>
    <font>
      <b/>
      <sz val="7"/>
      <color theme="1"/>
      <name val="Garamond"/>
      <family val="1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Arial"/>
      <family val="2"/>
    </font>
    <font>
      <sz val="8"/>
      <color rgb="FF505050"/>
      <name val="Arial"/>
      <family val="2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u val="singleAccounting"/>
      <sz val="8"/>
      <name val="Times New Roman"/>
      <family val="1"/>
    </font>
    <font>
      <u val="singleAccounting"/>
      <sz val="8"/>
      <color indexed="12"/>
      <name val="Times New Roman"/>
      <family val="1"/>
    </font>
    <font>
      <sz val="8"/>
      <color indexed="12"/>
      <name val="Times New Roman"/>
      <family val="1"/>
    </font>
    <font>
      <sz val="10"/>
      <color theme="1"/>
      <name val="Optima"/>
      <family val="2"/>
    </font>
    <font>
      <b/>
      <sz val="10"/>
      <color theme="1"/>
      <name val="Optima"/>
      <family val="2"/>
    </font>
    <font>
      <b/>
      <sz val="10"/>
      <color theme="1"/>
      <name val="Optima"/>
      <family val="2"/>
    </font>
    <font>
      <sz val="10"/>
      <name val="Optima"/>
      <family val="2"/>
    </font>
    <font>
      <sz val="10"/>
      <color rgb="FF0000FF"/>
      <name val="Optima"/>
      <family val="2"/>
    </font>
    <font>
      <sz val="10"/>
      <color theme="0"/>
      <name val="Optima"/>
      <family val="2"/>
    </font>
    <font>
      <b/>
      <sz val="10"/>
      <color rgb="FF0000FF"/>
      <name val="Opti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9"/>
      <color indexed="8"/>
      <name val="Times New Roman"/>
      <family val="1"/>
    </font>
    <font>
      <b/>
      <sz val="9"/>
      <color rgb="FF4F81BD"/>
      <name val="Garamond"/>
      <family val="1"/>
    </font>
    <font>
      <sz val="11"/>
      <color rgb="FF4F81BD"/>
      <name val="Garamond"/>
      <family val="1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4"/>
      <name val="Arial"/>
      <family val="2"/>
    </font>
    <font>
      <sz val="11"/>
      <color theme="0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1" fillId="0" borderId="0"/>
    <xf numFmtId="0" fontId="8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44" fontId="12" fillId="0" borderId="0" xfId="3" applyFont="1"/>
    <xf numFmtId="0" fontId="15" fillId="3" borderId="13" xfId="0" applyFont="1" applyFill="1" applyBorder="1" applyAlignment="1">
      <alignment horizontal="centerContinuous"/>
    </xf>
    <xf numFmtId="0" fontId="15" fillId="3" borderId="14" xfId="0" applyFont="1" applyFill="1" applyBorder="1" applyAlignment="1">
      <alignment horizontal="centerContinuous"/>
    </xf>
    <xf numFmtId="0" fontId="15" fillId="3" borderId="10" xfId="0" applyFont="1" applyFill="1" applyBorder="1" applyAlignment="1">
      <alignment horizontal="centerContinuous"/>
    </xf>
    <xf numFmtId="44" fontId="12" fillId="0" borderId="0" xfId="0" applyNumberFormat="1" applyFont="1"/>
    <xf numFmtId="0" fontId="16" fillId="3" borderId="6" xfId="0" applyFont="1" applyFill="1" applyBorder="1" applyAlignment="1">
      <alignment horizontal="centerContinuous"/>
    </xf>
    <xf numFmtId="0" fontId="16" fillId="3" borderId="1" xfId="0" applyFont="1" applyFill="1" applyBorder="1" applyAlignment="1">
      <alignment horizontal="centerContinuous"/>
    </xf>
    <xf numFmtId="0" fontId="16" fillId="3" borderId="7" xfId="0" applyFont="1" applyFill="1" applyBorder="1" applyAlignment="1">
      <alignment horizontal="centerContinuous"/>
    </xf>
    <xf numFmtId="172" fontId="12" fillId="0" borderId="0" xfId="0" applyNumberFormat="1" applyFont="1"/>
    <xf numFmtId="0" fontId="16" fillId="3" borderId="3" xfId="0" applyFont="1" applyFill="1" applyBorder="1" applyAlignment="1">
      <alignment horizontal="centerContinuous"/>
    </xf>
    <xf numFmtId="0" fontId="16" fillId="3" borderId="5" xfId="0" applyFont="1" applyFill="1" applyBorder="1" applyAlignment="1">
      <alignment horizontal="centerContinuous"/>
    </xf>
    <xf numFmtId="0" fontId="16" fillId="3" borderId="4" xfId="0" applyFont="1" applyFill="1" applyBorder="1" applyAlignment="1">
      <alignment horizontal="centerContinuous"/>
    </xf>
    <xf numFmtId="0" fontId="17" fillId="3" borderId="13" xfId="0" applyFont="1" applyFill="1" applyBorder="1" applyAlignment="1">
      <alignment horizontal="centerContinuous"/>
    </xf>
    <xf numFmtId="0" fontId="17" fillId="3" borderId="14" xfId="0" applyFont="1" applyFill="1" applyBorder="1" applyAlignment="1">
      <alignment horizontal="centerContinuous"/>
    </xf>
    <xf numFmtId="0" fontId="17" fillId="3" borderId="10" xfId="0" applyFont="1" applyFill="1" applyBorder="1" applyAlignment="1">
      <alignment horizontal="centerContinuous"/>
    </xf>
    <xf numFmtId="0" fontId="14" fillId="0" borderId="0" xfId="0" applyFont="1"/>
    <xf numFmtId="0" fontId="10" fillId="0" borderId="13" xfId="0" applyFont="1" applyBorder="1"/>
    <xf numFmtId="0" fontId="10" fillId="0" borderId="14" xfId="0" applyFont="1" applyBorder="1"/>
    <xf numFmtId="0" fontId="18" fillId="0" borderId="14" xfId="0" applyFont="1" applyBorder="1" applyAlignment="1">
      <alignment horizontal="right"/>
    </xf>
    <xf numFmtId="0" fontId="19" fillId="0" borderId="10" xfId="0" applyFont="1" applyBorder="1" applyAlignment="1">
      <alignment horizontal="center"/>
    </xf>
    <xf numFmtId="0" fontId="10" fillId="0" borderId="8" xfId="0" applyFont="1" applyBorder="1"/>
    <xf numFmtId="0" fontId="20" fillId="0" borderId="0" xfId="0" applyFont="1"/>
    <xf numFmtId="0" fontId="19" fillId="0" borderId="9" xfId="0" applyFont="1" applyBorder="1" applyAlignment="1">
      <alignment horizontal="center"/>
    </xf>
    <xf numFmtId="3" fontId="1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0" fillId="2" borderId="6" xfId="0" applyFont="1" applyFill="1" applyBorder="1"/>
    <xf numFmtId="0" fontId="10" fillId="2" borderId="1" xfId="0" applyFont="1" applyFill="1" applyBorder="1"/>
    <xf numFmtId="0" fontId="19" fillId="2" borderId="7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0" borderId="13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0" xfId="0" applyFont="1"/>
    <xf numFmtId="0" fontId="10" fillId="0" borderId="0" xfId="0" applyFont="1" applyAlignment="1">
      <alignment horizontal="center"/>
    </xf>
    <xf numFmtId="42" fontId="10" fillId="0" borderId="0" xfId="4" applyFont="1" applyBorder="1" applyAlignment="1">
      <alignment horizontal="center"/>
    </xf>
    <xf numFmtId="3" fontId="19" fillId="0" borderId="0" xfId="3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0" fontId="23" fillId="0" borderId="9" xfId="0" applyFont="1" applyBorder="1" applyAlignment="1">
      <alignment horizontal="center"/>
    </xf>
    <xf numFmtId="184" fontId="12" fillId="0" borderId="0" xfId="0" applyNumberFormat="1" applyFont="1"/>
    <xf numFmtId="168" fontId="24" fillId="0" borderId="0" xfId="3" applyNumberFormat="1" applyFont="1"/>
    <xf numFmtId="0" fontId="10" fillId="0" borderId="6" xfId="0" applyFont="1" applyBorder="1"/>
    <xf numFmtId="0" fontId="19" fillId="0" borderId="1" xfId="0" applyFont="1" applyBorder="1"/>
    <xf numFmtId="0" fontId="23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5" applyFont="1" applyAlignment="1">
      <alignment horizontal="center"/>
    </xf>
    <xf numFmtId="5" fontId="10" fillId="0" borderId="0" xfId="0" applyNumberFormat="1" applyFont="1" applyAlignment="1">
      <alignment horizontal="right"/>
    </xf>
    <xf numFmtId="2" fontId="10" fillId="0" borderId="0" xfId="1" applyNumberFormat="1" applyFont="1" applyAlignment="1">
      <alignment horizontal="right"/>
    </xf>
    <xf numFmtId="170" fontId="20" fillId="0" borderId="0" xfId="4" applyNumberFormat="1" applyFont="1" applyAlignment="1">
      <alignment horizontal="right"/>
    </xf>
    <xf numFmtId="0" fontId="19" fillId="0" borderId="13" xfId="0" applyFont="1" applyBorder="1"/>
    <xf numFmtId="9" fontId="10" fillId="0" borderId="14" xfId="0" applyNumberFormat="1" applyFont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5" fontId="10" fillId="0" borderId="14" xfId="5" applyNumberFormat="1" applyFont="1" applyBorder="1" applyAlignment="1">
      <alignment horizontal="center"/>
    </xf>
    <xf numFmtId="165" fontId="10" fillId="0" borderId="10" xfId="5" applyNumberFormat="1" applyFont="1" applyBorder="1" applyAlignment="1">
      <alignment horizontal="center"/>
    </xf>
    <xf numFmtId="9" fontId="10" fillId="0" borderId="0" xfId="0" applyNumberFormat="1" applyFont="1"/>
    <xf numFmtId="9" fontId="10" fillId="0" borderId="0" xfId="5" applyFont="1" applyFill="1" applyBorder="1" applyAlignment="1">
      <alignment horizontal="center"/>
    </xf>
    <xf numFmtId="10" fontId="10" fillId="0" borderId="0" xfId="0" applyNumberFormat="1" applyFont="1"/>
    <xf numFmtId="164" fontId="10" fillId="0" borderId="9" xfId="4" applyNumberFormat="1" applyFont="1" applyBorder="1" applyAlignment="1">
      <alignment horizontal="right"/>
    </xf>
    <xf numFmtId="164" fontId="12" fillId="0" borderId="0" xfId="0" applyNumberFormat="1" applyFont="1"/>
    <xf numFmtId="9" fontId="21" fillId="0" borderId="0" xfId="0" applyNumberFormat="1" applyFont="1" applyAlignment="1">
      <alignment horizontal="center"/>
    </xf>
    <xf numFmtId="9" fontId="10" fillId="0" borderId="0" xfId="5" applyFont="1" applyBorder="1" applyAlignment="1">
      <alignment horizontal="center"/>
    </xf>
    <xf numFmtId="164" fontId="10" fillId="0" borderId="0" xfId="1" applyNumberFormat="1" applyFont="1" applyBorder="1" applyAlignment="1">
      <alignment horizontal="right"/>
    </xf>
    <xf numFmtId="0" fontId="19" fillId="4" borderId="6" xfId="0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164" fontId="23" fillId="0" borderId="0" xfId="1" applyNumberFormat="1" applyFont="1" applyAlignment="1">
      <alignment horizontal="right"/>
    </xf>
    <xf numFmtId="164" fontId="19" fillId="0" borderId="0" xfId="1" applyNumberFormat="1" applyFont="1" applyAlignment="1">
      <alignment horizontal="right"/>
    </xf>
    <xf numFmtId="191" fontId="10" fillId="0" borderId="0" xfId="0" applyNumberFormat="1" applyFont="1" applyAlignment="1">
      <alignment horizontal="center"/>
    </xf>
    <xf numFmtId="164" fontId="26" fillId="0" borderId="9" xfId="4" applyNumberFormat="1" applyFont="1" applyBorder="1" applyAlignment="1">
      <alignment horizontal="right"/>
    </xf>
    <xf numFmtId="171" fontId="20" fillId="0" borderId="0" xfId="0" applyNumberFormat="1" applyFont="1" applyAlignment="1">
      <alignment horizontal="right"/>
    </xf>
    <xf numFmtId="164" fontId="10" fillId="0" borderId="9" xfId="0" applyNumberFormat="1" applyFont="1" applyBorder="1" applyAlignment="1">
      <alignment horizontal="right"/>
    </xf>
    <xf numFmtId="191" fontId="10" fillId="0" borderId="1" xfId="0" applyNumberFormat="1" applyFont="1" applyBorder="1" applyAlignment="1">
      <alignment horizontal="center"/>
    </xf>
    <xf numFmtId="164" fontId="10" fillId="0" borderId="9" xfId="1" applyNumberFormat="1" applyFont="1" applyBorder="1" applyAlignment="1">
      <alignment horizontal="right"/>
    </xf>
    <xf numFmtId="0" fontId="19" fillId="8" borderId="6" xfId="0" applyFont="1" applyFill="1" applyBorder="1"/>
    <xf numFmtId="0" fontId="10" fillId="8" borderId="1" xfId="0" applyFont="1" applyFill="1" applyBorder="1"/>
    <xf numFmtId="0" fontId="10" fillId="8" borderId="1" xfId="0" applyFont="1" applyFill="1" applyBorder="1" applyAlignment="1">
      <alignment horizontal="center"/>
    </xf>
    <xf numFmtId="164" fontId="19" fillId="8" borderId="7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0" fillId="0" borderId="0" xfId="5" applyNumberFormat="1" applyFont="1" applyBorder="1" applyAlignment="1">
      <alignment horizontal="center"/>
    </xf>
    <xf numFmtId="165" fontId="10" fillId="0" borderId="9" xfId="5" applyNumberFormat="1" applyFont="1" applyBorder="1" applyAlignment="1">
      <alignment horizontal="center"/>
    </xf>
    <xf numFmtId="10" fontId="21" fillId="0" borderId="0" xfId="0" applyNumberFormat="1" applyFont="1" applyAlignment="1">
      <alignment horizontal="center"/>
    </xf>
    <xf numFmtId="166" fontId="10" fillId="0" borderId="9" xfId="4" applyNumberFormat="1" applyFont="1" applyBorder="1" applyAlignment="1">
      <alignment horizontal="right"/>
    </xf>
    <xf numFmtId="0" fontId="10" fillId="0" borderId="8" xfId="0" applyFont="1" applyBorder="1" applyAlignment="1">
      <alignment horizontal="left" indent="1"/>
    </xf>
    <xf numFmtId="180" fontId="21" fillId="0" borderId="0" xfId="0" applyNumberFormat="1" applyFont="1" applyAlignment="1">
      <alignment horizontal="center"/>
    </xf>
    <xf numFmtId="10" fontId="26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left" indent="2"/>
    </xf>
    <xf numFmtId="9" fontId="10" fillId="0" borderId="1" xfId="0" applyNumberFormat="1" applyFont="1" applyBorder="1"/>
    <xf numFmtId="0" fontId="28" fillId="0" borderId="1" xfId="0" applyFont="1" applyBorder="1" applyAlignment="1">
      <alignment horizontal="left"/>
    </xf>
    <xf numFmtId="0" fontId="10" fillId="0" borderId="1" xfId="0" applyFont="1" applyBorder="1"/>
    <xf numFmtId="10" fontId="10" fillId="0" borderId="1" xfId="0" applyNumberFormat="1" applyFont="1" applyBorder="1"/>
    <xf numFmtId="164" fontId="10" fillId="0" borderId="7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9" fontId="20" fillId="0" borderId="0" xfId="0" applyNumberFormat="1" applyFont="1" applyAlignment="1">
      <alignment horizontal="center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10" fontId="29" fillId="0" borderId="0" xfId="5" applyNumberFormat="1" applyFont="1" applyBorder="1" applyAlignment="1">
      <alignment horizontal="center"/>
    </xf>
    <xf numFmtId="10" fontId="10" fillId="0" borderId="0" xfId="0" applyNumberFormat="1" applyFont="1" applyAlignment="1">
      <alignment horizontal="right"/>
    </xf>
    <xf numFmtId="10" fontId="10" fillId="0" borderId="9" xfId="0" applyNumberFormat="1" applyFont="1" applyBorder="1" applyAlignment="1">
      <alignment horizontal="center"/>
    </xf>
    <xf numFmtId="0" fontId="10" fillId="0" borderId="14" xfId="0" applyFont="1" applyBorder="1" applyAlignment="1">
      <alignment horizontal="right"/>
    </xf>
    <xf numFmtId="9" fontId="10" fillId="0" borderId="14" xfId="5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9" fontId="10" fillId="0" borderId="0" xfId="5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6" fontId="10" fillId="0" borderId="9" xfId="4" applyNumberFormat="1" applyFont="1" applyBorder="1" applyAlignment="1">
      <alignment horizontal="right"/>
    </xf>
    <xf numFmtId="0" fontId="19" fillId="0" borderId="8" xfId="0" applyFont="1" applyBorder="1"/>
    <xf numFmtId="0" fontId="10" fillId="0" borderId="0" xfId="9" applyFont="1" applyAlignment="1">
      <alignment horizontal="center"/>
    </xf>
    <xf numFmtId="0" fontId="10" fillId="0" borderId="0" xfId="9" applyFont="1"/>
    <xf numFmtId="0" fontId="10" fillId="0" borderId="8" xfId="9" applyFont="1" applyBorder="1"/>
    <xf numFmtId="3" fontId="10" fillId="0" borderId="0" xfId="9" applyNumberFormat="1" applyFont="1" applyAlignment="1">
      <alignment horizontal="center"/>
    </xf>
    <xf numFmtId="166" fontId="10" fillId="0" borderId="0" xfId="9" applyNumberFormat="1" applyFont="1"/>
    <xf numFmtId="0" fontId="17" fillId="3" borderId="13" xfId="9" applyFont="1" applyFill="1" applyBorder="1" applyAlignment="1">
      <alignment horizontal="centerContinuous"/>
    </xf>
    <xf numFmtId="0" fontId="10" fillId="3" borderId="14" xfId="9" applyFont="1" applyFill="1" applyBorder="1" applyAlignment="1">
      <alignment horizontal="centerContinuous"/>
    </xf>
    <xf numFmtId="0" fontId="10" fillId="3" borderId="10" xfId="9" applyFont="1" applyFill="1" applyBorder="1" applyAlignment="1">
      <alignment horizontal="centerContinuous"/>
    </xf>
    <xf numFmtId="173" fontId="10" fillId="0" borderId="0" xfId="9" applyNumberFormat="1" applyFont="1" applyAlignment="1">
      <alignment horizontal="center"/>
    </xf>
    <xf numFmtId="14" fontId="10" fillId="0" borderId="0" xfId="9" applyNumberFormat="1" applyFont="1" applyAlignment="1">
      <alignment horizontal="center"/>
    </xf>
    <xf numFmtId="0" fontId="17" fillId="3" borderId="13" xfId="9" applyFont="1" applyFill="1" applyBorder="1" applyAlignment="1">
      <alignment horizontal="center"/>
    </xf>
    <xf numFmtId="0" fontId="17" fillId="3" borderId="14" xfId="9" applyFont="1" applyFill="1" applyBorder="1" applyAlignment="1">
      <alignment horizontal="center"/>
    </xf>
    <xf numFmtId="0" fontId="17" fillId="3" borderId="10" xfId="9" applyFont="1" applyFill="1" applyBorder="1" applyAlignment="1">
      <alignment horizontal="center"/>
    </xf>
    <xf numFmtId="41" fontId="10" fillId="0" borderId="0" xfId="9" applyNumberFormat="1" applyFont="1"/>
    <xf numFmtId="43" fontId="10" fillId="0" borderId="0" xfId="1" applyFont="1" applyBorder="1" applyAlignment="1">
      <alignment horizontal="center"/>
    </xf>
    <xf numFmtId="0" fontId="19" fillId="7" borderId="1" xfId="9" applyFont="1" applyFill="1" applyBorder="1" applyAlignment="1">
      <alignment horizontal="center"/>
    </xf>
    <xf numFmtId="41" fontId="19" fillId="7" borderId="1" xfId="9" applyNumberFormat="1" applyFont="1" applyFill="1" applyBorder="1"/>
    <xf numFmtId="44" fontId="19" fillId="7" borderId="1" xfId="9" applyNumberFormat="1" applyFont="1" applyFill="1" applyBorder="1"/>
    <xf numFmtId="168" fontId="19" fillId="7" borderId="1" xfId="9" applyNumberFormat="1" applyFont="1" applyFill="1" applyBorder="1"/>
    <xf numFmtId="168" fontId="19" fillId="7" borderId="7" xfId="9" applyNumberFormat="1" applyFont="1" applyFill="1" applyBorder="1"/>
    <xf numFmtId="44" fontId="10" fillId="0" borderId="0" xfId="9" applyNumberFormat="1" applyFont="1"/>
    <xf numFmtId="41" fontId="23" fillId="0" borderId="0" xfId="9" applyNumberFormat="1" applyFont="1" applyAlignment="1">
      <alignment horizontal="center"/>
    </xf>
    <xf numFmtId="42" fontId="10" fillId="0" borderId="0" xfId="0" applyNumberFormat="1" applyFont="1"/>
    <xf numFmtId="0" fontId="17" fillId="3" borderId="8" xfId="9" applyFont="1" applyFill="1" applyBorder="1" applyAlignment="1">
      <alignment horizontal="center"/>
    </xf>
    <xf numFmtId="0" fontId="17" fillId="3" borderId="0" xfId="9" applyFont="1" applyFill="1" applyAlignment="1">
      <alignment horizontal="center"/>
    </xf>
    <xf numFmtId="0" fontId="17" fillId="3" borderId="9" xfId="9" applyFont="1" applyFill="1" applyBorder="1" applyAlignment="1">
      <alignment horizontal="center"/>
    </xf>
    <xf numFmtId="44" fontId="10" fillId="0" borderId="0" xfId="0" applyNumberFormat="1" applyFont="1"/>
    <xf numFmtId="42" fontId="10" fillId="0" borderId="9" xfId="0" applyNumberFormat="1" applyFont="1" applyBorder="1"/>
    <xf numFmtId="41" fontId="10" fillId="0" borderId="0" xfId="0" applyNumberFormat="1" applyFont="1"/>
    <xf numFmtId="41" fontId="10" fillId="0" borderId="9" xfId="0" applyNumberFormat="1" applyFont="1" applyBorder="1"/>
    <xf numFmtId="0" fontId="19" fillId="7" borderId="6" xfId="0" applyFont="1" applyFill="1" applyBorder="1"/>
    <xf numFmtId="168" fontId="10" fillId="0" borderId="0" xfId="0" applyNumberFormat="1" applyFont="1"/>
    <xf numFmtId="0" fontId="12" fillId="0" borderId="0" xfId="0" applyFont="1" applyAlignment="1">
      <alignment vertical="center"/>
    </xf>
    <xf numFmtId="0" fontId="31" fillId="3" borderId="8" xfId="0" applyFont="1" applyFill="1" applyBorder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31" fillId="3" borderId="1" xfId="0" applyFont="1" applyFill="1" applyBorder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165" fontId="12" fillId="0" borderId="0" xfId="5" applyNumberFormat="1" applyFont="1" applyAlignment="1">
      <alignment horizontal="right" vertical="center"/>
    </xf>
    <xf numFmtId="5" fontId="12" fillId="0" borderId="0" xfId="0" applyNumberFormat="1" applyFont="1" applyAlignment="1">
      <alignment horizontal="right" vertical="center"/>
    </xf>
    <xf numFmtId="175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174" fontId="12" fillId="0" borderId="0" xfId="0" applyNumberFormat="1" applyFont="1" applyAlignment="1">
      <alignment horizontal="center" vertical="center"/>
    </xf>
    <xf numFmtId="5" fontId="14" fillId="0" borderId="0" xfId="0" applyNumberFormat="1" applyFont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4" fontId="12" fillId="0" borderId="0" xfId="0" applyNumberFormat="1" applyFont="1" applyAlignment="1">
      <alignment vertical="center"/>
    </xf>
    <xf numFmtId="185" fontId="22" fillId="0" borderId="0" xfId="0" applyNumberFormat="1" applyFont="1" applyAlignment="1">
      <alignment horizontal="center"/>
    </xf>
    <xf numFmtId="0" fontId="36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2" fontId="29" fillId="0" borderId="0" xfId="1" applyNumberFormat="1" applyFont="1" applyFill="1"/>
    <xf numFmtId="10" fontId="37" fillId="0" borderId="0" xfId="0" applyNumberFormat="1" applyFont="1"/>
    <xf numFmtId="0" fontId="38" fillId="0" borderId="0" xfId="0" applyFont="1"/>
    <xf numFmtId="5" fontId="12" fillId="0" borderId="0" xfId="0" applyNumberFormat="1" applyFont="1" applyAlignment="1">
      <alignment vertical="center"/>
    </xf>
    <xf numFmtId="9" fontId="29" fillId="0" borderId="0" xfId="0" applyNumberFormat="1" applyFont="1"/>
    <xf numFmtId="193" fontId="29" fillId="0" borderId="0" xfId="0" applyNumberFormat="1" applyFont="1"/>
    <xf numFmtId="10" fontId="29" fillId="0" borderId="14" xfId="14" applyNumberFormat="1" applyFont="1" applyBorder="1"/>
    <xf numFmtId="43" fontId="38" fillId="9" borderId="0" xfId="1" applyFont="1" applyFill="1"/>
    <xf numFmtId="42" fontId="29" fillId="0" borderId="14" xfId="1" applyNumberFormat="1" applyFont="1" applyBorder="1"/>
    <xf numFmtId="0" fontId="29" fillId="0" borderId="0" xfId="0" applyFont="1"/>
    <xf numFmtId="184" fontId="29" fillId="0" borderId="0" xfId="1" applyNumberFormat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184" fontId="27" fillId="0" borderId="0" xfId="1" applyNumberFormat="1" applyFont="1" applyAlignment="1">
      <alignment horizontal="center" vertical="center"/>
    </xf>
    <xf numFmtId="42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1" xfId="0" applyNumberFormat="1" applyFont="1" applyBorder="1" applyAlignment="1">
      <alignment vertical="center"/>
    </xf>
    <xf numFmtId="165" fontId="10" fillId="0" borderId="0" xfId="5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79" fontId="39" fillId="0" borderId="0" xfId="0" applyNumberFormat="1" applyFont="1" applyAlignment="1">
      <alignment horizontal="center" vertical="center"/>
    </xf>
    <xf numFmtId="179" fontId="40" fillId="0" borderId="0" xfId="0" applyNumberFormat="1" applyFont="1" applyAlignment="1">
      <alignment horizontal="right" vertical="center"/>
    </xf>
    <xf numFmtId="179" fontId="40" fillId="0" borderId="0" xfId="5" applyNumberFormat="1" applyFont="1" applyFill="1" applyAlignment="1">
      <alignment horizontal="right" vertical="center"/>
    </xf>
    <xf numFmtId="179" fontId="10" fillId="0" borderId="0" xfId="5" applyNumberFormat="1" applyFont="1" applyFill="1" applyAlignment="1">
      <alignment horizontal="right" vertical="center"/>
    </xf>
    <xf numFmtId="179" fontId="10" fillId="0" borderId="0" xfId="5" applyNumberFormat="1" applyFont="1" applyAlignment="1">
      <alignment horizontal="right" vertical="center"/>
    </xf>
    <xf numFmtId="165" fontId="10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vertical="center"/>
    </xf>
    <xf numFmtId="164" fontId="4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65" fontId="27" fillId="0" borderId="0" xfId="5" applyNumberFormat="1" applyFont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165" fontId="38" fillId="0" borderId="0" xfId="5" applyNumberFormat="1" applyFont="1" applyAlignment="1">
      <alignment horizontal="center" vertical="center"/>
    </xf>
    <xf numFmtId="165" fontId="41" fillId="0" borderId="0" xfId="5" applyNumberFormat="1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right" vertical="center"/>
    </xf>
    <xf numFmtId="43" fontId="39" fillId="0" borderId="0" xfId="1" applyFont="1" applyAlignment="1">
      <alignment horizontal="center" vertical="center"/>
    </xf>
    <xf numFmtId="5" fontId="19" fillId="0" borderId="0" xfId="0" applyNumberFormat="1" applyFont="1" applyAlignment="1">
      <alignment horizontal="right" vertical="center"/>
    </xf>
    <xf numFmtId="44" fontId="10" fillId="0" borderId="0" xfId="0" applyNumberFormat="1" applyFont="1" applyAlignment="1">
      <alignment vertical="center"/>
    </xf>
    <xf numFmtId="165" fontId="38" fillId="0" borderId="0" xfId="5" applyNumberFormat="1" applyFont="1" applyAlignment="1">
      <alignment horizontal="left" vertical="center"/>
    </xf>
    <xf numFmtId="44" fontId="10" fillId="0" borderId="0" xfId="0" applyNumberFormat="1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42" fontId="19" fillId="0" borderId="0" xfId="0" applyNumberFormat="1" applyFont="1" applyAlignment="1">
      <alignment horizontal="right" vertical="center"/>
    </xf>
    <xf numFmtId="0" fontId="10" fillId="2" borderId="0" xfId="0" applyFont="1" applyFill="1" applyAlignment="1">
      <alignment vertical="center"/>
    </xf>
    <xf numFmtId="41" fontId="10" fillId="0" borderId="1" xfId="0" applyNumberFormat="1" applyFont="1" applyBorder="1" applyAlignment="1">
      <alignment horizontal="right" vertical="center"/>
    </xf>
    <xf numFmtId="180" fontId="10" fillId="0" borderId="0" xfId="0" applyNumberFormat="1" applyFont="1" applyAlignment="1">
      <alignment vertical="center"/>
    </xf>
    <xf numFmtId="4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10" fontId="10" fillId="0" borderId="0" xfId="5" applyNumberFormat="1" applyFont="1" applyFill="1" applyAlignment="1">
      <alignment horizontal="right" vertical="center"/>
    </xf>
    <xf numFmtId="43" fontId="43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right" vertical="center"/>
    </xf>
    <xf numFmtId="0" fontId="45" fillId="2" borderId="0" xfId="0" applyFont="1" applyFill="1" applyAlignment="1">
      <alignment vertical="center"/>
    </xf>
    <xf numFmtId="9" fontId="39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41" fontId="23" fillId="2" borderId="0" xfId="0" applyNumberFormat="1" applyFont="1" applyFill="1" applyAlignment="1">
      <alignment vertical="center"/>
    </xf>
    <xf numFmtId="165" fontId="38" fillId="0" borderId="0" xfId="5" applyNumberFormat="1" applyFont="1" applyFill="1" applyAlignment="1">
      <alignment horizontal="right" vertical="center" wrapText="1"/>
    </xf>
    <xf numFmtId="41" fontId="10" fillId="0" borderId="0" xfId="5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5" fontId="10" fillId="2" borderId="0" xfId="0" applyNumberFormat="1" applyFont="1" applyFill="1" applyAlignment="1">
      <alignment vertical="center"/>
    </xf>
    <xf numFmtId="5" fontId="10" fillId="0" borderId="0" xfId="0" applyNumberFormat="1" applyFont="1" applyAlignment="1">
      <alignment vertical="center"/>
    </xf>
    <xf numFmtId="181" fontId="10" fillId="0" borderId="0" xfId="0" applyNumberFormat="1" applyFont="1" applyAlignment="1">
      <alignment vertical="center"/>
    </xf>
    <xf numFmtId="10" fontId="27" fillId="2" borderId="0" xfId="0" applyNumberFormat="1" applyFont="1" applyFill="1" applyAlignment="1">
      <alignment vertical="center"/>
    </xf>
    <xf numFmtId="165" fontId="46" fillId="2" borderId="0" xfId="0" applyNumberFormat="1" applyFont="1" applyFill="1" applyAlignment="1">
      <alignment vertical="center"/>
    </xf>
    <xf numFmtId="165" fontId="27" fillId="0" borderId="0" xfId="0" applyNumberFormat="1" applyFont="1" applyAlignment="1">
      <alignment vertical="center"/>
    </xf>
    <xf numFmtId="165" fontId="27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1" fontId="10" fillId="2" borderId="0" xfId="0" applyNumberFormat="1" applyFont="1" applyFill="1" applyAlignment="1">
      <alignment vertical="center"/>
    </xf>
    <xf numFmtId="5" fontId="25" fillId="2" borderId="0" xfId="0" applyNumberFormat="1" applyFont="1" applyFill="1" applyAlignment="1">
      <alignment vertical="center"/>
    </xf>
    <xf numFmtId="9" fontId="10" fillId="2" borderId="0" xfId="5" applyFont="1" applyFill="1" applyAlignment="1">
      <alignment vertical="center"/>
    </xf>
    <xf numFmtId="9" fontId="10" fillId="0" borderId="0" xfId="5" applyFont="1" applyFill="1" applyAlignment="1">
      <alignment vertical="center"/>
    </xf>
    <xf numFmtId="5" fontId="19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0" fontId="10" fillId="0" borderId="0" xfId="5" applyNumberFormat="1" applyFont="1" applyFill="1" applyAlignment="1">
      <alignment vertical="center"/>
    </xf>
    <xf numFmtId="9" fontId="10" fillId="0" borderId="0" xfId="0" applyNumberFormat="1" applyFont="1" applyAlignment="1">
      <alignment vertical="center"/>
    </xf>
    <xf numFmtId="10" fontId="19" fillId="0" borderId="0" xfId="5" applyNumberFormat="1" applyFont="1" applyFill="1" applyAlignment="1">
      <alignment vertical="center"/>
    </xf>
    <xf numFmtId="192" fontId="10" fillId="2" borderId="0" xfId="1" applyNumberFormat="1" applyFont="1" applyFill="1" applyAlignment="1">
      <alignment vertical="center"/>
    </xf>
    <xf numFmtId="9" fontId="10" fillId="2" borderId="0" xfId="0" applyNumberFormat="1" applyFont="1" applyFill="1" applyAlignment="1">
      <alignment vertical="center"/>
    </xf>
    <xf numFmtId="10" fontId="19" fillId="2" borderId="0" xfId="5" applyNumberFormat="1" applyFont="1" applyFill="1" applyAlignment="1">
      <alignment vertical="center"/>
    </xf>
    <xf numFmtId="184" fontId="10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193" fontId="10" fillId="0" borderId="0" xfId="0" applyNumberFormat="1" applyFont="1"/>
    <xf numFmtId="0" fontId="47" fillId="0" borderId="0" xfId="8" applyFont="1" applyProtection="1">
      <protection hidden="1"/>
    </xf>
    <xf numFmtId="0" fontId="47" fillId="6" borderId="20" xfId="8" applyFont="1" applyFill="1" applyBorder="1" applyProtection="1">
      <protection hidden="1"/>
    </xf>
    <xf numFmtId="0" fontId="47" fillId="5" borderId="0" xfId="8" applyFont="1" applyFill="1" applyProtection="1">
      <protection hidden="1"/>
    </xf>
    <xf numFmtId="0" fontId="47" fillId="6" borderId="0" xfId="8" applyFont="1" applyFill="1" applyProtection="1">
      <protection hidden="1"/>
    </xf>
    <xf numFmtId="0" fontId="47" fillId="6" borderId="21" xfId="8" applyFont="1" applyFill="1" applyBorder="1" applyProtection="1">
      <protection hidden="1"/>
    </xf>
    <xf numFmtId="0" fontId="16" fillId="6" borderId="21" xfId="8" quotePrefix="1" applyFont="1" applyFill="1" applyBorder="1" applyAlignment="1" applyProtection="1">
      <alignment horizontal="center" vertical="center"/>
      <protection hidden="1"/>
    </xf>
    <xf numFmtId="17" fontId="47" fillId="0" borderId="0" xfId="8" applyNumberFormat="1" applyFont="1" applyProtection="1">
      <protection hidden="1"/>
    </xf>
    <xf numFmtId="17" fontId="47" fillId="6" borderId="21" xfId="8" applyNumberFormat="1" applyFont="1" applyFill="1" applyBorder="1" applyProtection="1">
      <protection hidden="1"/>
    </xf>
    <xf numFmtId="41" fontId="47" fillId="0" borderId="0" xfId="8" applyNumberFormat="1" applyFont="1" applyProtection="1">
      <protection hidden="1"/>
    </xf>
    <xf numFmtId="41" fontId="47" fillId="6" borderId="21" xfId="8" applyNumberFormat="1" applyFont="1" applyFill="1" applyBorder="1" applyProtection="1">
      <protection hidden="1"/>
    </xf>
    <xf numFmtId="10" fontId="47" fillId="6" borderId="21" xfId="8" applyNumberFormat="1" applyFont="1" applyFill="1" applyBorder="1" applyProtection="1">
      <protection hidden="1"/>
    </xf>
    <xf numFmtId="0" fontId="47" fillId="2" borderId="0" xfId="8" applyFont="1" applyFill="1" applyProtection="1">
      <protection hidden="1"/>
    </xf>
    <xf numFmtId="43" fontId="47" fillId="6" borderId="21" xfId="8" applyNumberFormat="1" applyFont="1" applyFill="1" applyBorder="1" applyProtection="1">
      <protection hidden="1"/>
    </xf>
    <xf numFmtId="43" fontId="47" fillId="2" borderId="0" xfId="8" applyNumberFormat="1" applyFont="1" applyFill="1" applyProtection="1">
      <protection hidden="1"/>
    </xf>
    <xf numFmtId="41" fontId="47" fillId="2" borderId="0" xfId="8" applyNumberFormat="1" applyFont="1" applyFill="1" applyProtection="1">
      <protection hidden="1"/>
    </xf>
    <xf numFmtId="0" fontId="52" fillId="3" borderId="16" xfId="8" applyFont="1" applyFill="1" applyBorder="1" applyAlignment="1" applyProtection="1">
      <alignment horizontal="center" vertical="center"/>
      <protection hidden="1"/>
    </xf>
    <xf numFmtId="0" fontId="52" fillId="6" borderId="21" xfId="8" applyFont="1" applyFill="1" applyBorder="1" applyAlignment="1" applyProtection="1">
      <alignment horizontal="center" vertical="center"/>
      <protection hidden="1"/>
    </xf>
    <xf numFmtId="0" fontId="52" fillId="3" borderId="17" xfId="8" applyFont="1" applyFill="1" applyBorder="1" applyAlignment="1" applyProtection="1">
      <alignment horizontal="center" vertical="center"/>
      <protection hidden="1"/>
    </xf>
    <xf numFmtId="0" fontId="47" fillId="0" borderId="19" xfId="8" applyFont="1" applyBorder="1" applyProtection="1">
      <protection hidden="1"/>
    </xf>
    <xf numFmtId="17" fontId="47" fillId="0" borderId="19" xfId="8" applyNumberFormat="1" applyFont="1" applyBorder="1" applyProtection="1">
      <protection hidden="1"/>
    </xf>
    <xf numFmtId="41" fontId="47" fillId="0" borderId="19" xfId="8" applyNumberFormat="1" applyFont="1" applyBorder="1" applyProtection="1">
      <protection hidden="1"/>
    </xf>
    <xf numFmtId="41" fontId="47" fillId="6" borderId="22" xfId="8" applyNumberFormat="1" applyFont="1" applyFill="1" applyBorder="1" applyProtection="1">
      <protection hidden="1"/>
    </xf>
    <xf numFmtId="0" fontId="47" fillId="5" borderId="19" xfId="8" applyFont="1" applyFill="1" applyBorder="1" applyProtection="1">
      <protection hidden="1"/>
    </xf>
    <xf numFmtId="0" fontId="47" fillId="6" borderId="19" xfId="8" applyFont="1" applyFill="1" applyBorder="1" applyProtection="1">
      <protection hidden="1"/>
    </xf>
    <xf numFmtId="0" fontId="14" fillId="3" borderId="0" xfId="9" applyFont="1" applyFill="1" applyAlignment="1">
      <alignment horizontal="center"/>
    </xf>
    <xf numFmtId="0" fontId="17" fillId="3" borderId="0" xfId="9" applyFont="1" applyFill="1"/>
    <xf numFmtId="0" fontId="31" fillId="3" borderId="0" xfId="9" applyFont="1" applyFill="1" applyAlignment="1">
      <alignment vertical="center"/>
    </xf>
    <xf numFmtId="0" fontId="12" fillId="3" borderId="0" xfId="9" applyFont="1" applyFill="1"/>
    <xf numFmtId="0" fontId="10" fillId="3" borderId="0" xfId="9" applyFont="1" applyFill="1"/>
    <xf numFmtId="0" fontId="16" fillId="3" borderId="0" xfId="9" applyFont="1" applyFill="1" applyAlignment="1">
      <alignment horizontal="left" vertical="center"/>
    </xf>
    <xf numFmtId="0" fontId="53" fillId="3" borderId="0" xfId="9" applyFont="1" applyFill="1" applyAlignment="1">
      <alignment horizontal="right" vertical="center"/>
    </xf>
    <xf numFmtId="0" fontId="12" fillId="0" borderId="0" xfId="9" applyFont="1"/>
    <xf numFmtId="0" fontId="19" fillId="0" borderId="13" xfId="9" applyFont="1" applyBorder="1"/>
    <xf numFmtId="42" fontId="19" fillId="0" borderId="10" xfId="9" applyNumberFormat="1" applyFont="1" applyBorder="1"/>
    <xf numFmtId="0" fontId="19" fillId="0" borderId="6" xfId="9" applyFont="1" applyBorder="1"/>
    <xf numFmtId="195" fontId="19" fillId="0" borderId="7" xfId="9" applyNumberFormat="1" applyFont="1" applyBorder="1"/>
    <xf numFmtId="0" fontId="54" fillId="0" borderId="0" xfId="9" applyFont="1"/>
    <xf numFmtId="0" fontId="55" fillId="0" borderId="0" xfId="9" applyFont="1"/>
    <xf numFmtId="0" fontId="19" fillId="0" borderId="0" xfId="9" applyFont="1" applyAlignment="1">
      <alignment horizontal="center"/>
    </xf>
    <xf numFmtId="0" fontId="19" fillId="0" borderId="0" xfId="9" applyFont="1"/>
    <xf numFmtId="0" fontId="19" fillId="0" borderId="11" xfId="9" applyFont="1" applyBorder="1" applyAlignment="1">
      <alignment horizontal="center"/>
    </xf>
    <xf numFmtId="0" fontId="10" fillId="0" borderId="11" xfId="9" applyFont="1" applyBorder="1"/>
    <xf numFmtId="42" fontId="10" fillId="0" borderId="11" xfId="9" applyNumberFormat="1" applyFont="1" applyBorder="1"/>
    <xf numFmtId="10" fontId="21" fillId="0" borderId="11" xfId="9" applyNumberFormat="1" applyFont="1" applyBorder="1" applyAlignment="1">
      <alignment horizontal="center"/>
    </xf>
    <xf numFmtId="42" fontId="19" fillId="0" borderId="0" xfId="9" applyNumberFormat="1" applyFont="1"/>
    <xf numFmtId="10" fontId="19" fillId="0" borderId="0" xfId="5" applyNumberFormat="1" applyFont="1"/>
    <xf numFmtId="196" fontId="19" fillId="0" borderId="0" xfId="9" applyNumberFormat="1" applyFont="1" applyAlignment="1">
      <alignment horizontal="center"/>
    </xf>
    <xf numFmtId="0" fontId="23" fillId="0" borderId="11" xfId="9" applyFont="1" applyBorder="1"/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9" fillId="3" borderId="0" xfId="0" applyFont="1" applyFill="1" applyAlignment="1">
      <alignment horizontal="center" vertical="center"/>
    </xf>
    <xf numFmtId="42" fontId="21" fillId="0" borderId="11" xfId="9" applyNumberFormat="1" applyFont="1" applyBorder="1"/>
    <xf numFmtId="10" fontId="10" fillId="0" borderId="11" xfId="9" applyNumberFormat="1" applyFont="1" applyBorder="1" applyAlignment="1">
      <alignment horizontal="center"/>
    </xf>
    <xf numFmtId="0" fontId="0" fillId="3" borderId="0" xfId="0" applyFill="1"/>
    <xf numFmtId="14" fontId="21" fillId="2" borderId="1" xfId="0" applyNumberFormat="1" applyFont="1" applyFill="1" applyBorder="1" applyAlignment="1">
      <alignment horizontal="right"/>
    </xf>
    <xf numFmtId="182" fontId="21" fillId="0" borderId="0" xfId="0" applyNumberFormat="1" applyFont="1" applyAlignment="1">
      <alignment horizontal="center"/>
    </xf>
    <xf numFmtId="165" fontId="21" fillId="0" borderId="0" xfId="5" applyNumberFormat="1" applyFont="1" applyFill="1" applyBorder="1" applyAlignment="1">
      <alignment horizontal="center" vertical="center" wrapText="1"/>
    </xf>
    <xf numFmtId="194" fontId="21" fillId="0" borderId="0" xfId="0" applyNumberFormat="1" applyFont="1" applyAlignment="1">
      <alignment horizontal="center" vertical="center"/>
    </xf>
    <xf numFmtId="10" fontId="21" fillId="0" borderId="1" xfId="0" applyNumberFormat="1" applyFont="1" applyBorder="1" applyAlignment="1">
      <alignment horizontal="center"/>
    </xf>
    <xf numFmtId="41" fontId="21" fillId="0" borderId="8" xfId="0" applyNumberFormat="1" applyFont="1" applyBorder="1"/>
    <xf numFmtId="41" fontId="21" fillId="0" borderId="0" xfId="0" applyNumberFormat="1" applyFont="1"/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84" fontId="12" fillId="0" borderId="0" xfId="1" applyNumberFormat="1" applyFont="1"/>
    <xf numFmtId="0" fontId="0" fillId="10" borderId="0" xfId="0" applyFill="1"/>
    <xf numFmtId="185" fontId="10" fillId="0" borderId="0" xfId="0" applyNumberFormat="1" applyFont="1"/>
    <xf numFmtId="186" fontId="19" fillId="0" borderId="0" xfId="0" applyNumberFormat="1" applyFont="1" applyAlignment="1">
      <alignment horizontal="center"/>
    </xf>
    <xf numFmtId="0" fontId="23" fillId="0" borderId="0" xfId="0" applyFont="1"/>
    <xf numFmtId="182" fontId="10" fillId="0" borderId="0" xfId="0" applyNumberFormat="1" applyFont="1"/>
    <xf numFmtId="182" fontId="19" fillId="0" borderId="0" xfId="0" applyNumberFormat="1" applyFont="1"/>
    <xf numFmtId="168" fontId="26" fillId="0" borderId="0" xfId="3" applyNumberFormat="1" applyFont="1"/>
    <xf numFmtId="185" fontId="23" fillId="7" borderId="0" xfId="0" applyNumberFormat="1" applyFont="1" applyFill="1" applyAlignment="1">
      <alignment horizontal="center"/>
    </xf>
    <xf numFmtId="169" fontId="10" fillId="0" borderId="0" xfId="0" applyNumberFormat="1" applyFont="1" applyAlignment="1">
      <alignment horizontal="center"/>
    </xf>
    <xf numFmtId="183" fontId="10" fillId="0" borderId="0" xfId="0" applyNumberFormat="1" applyFont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164" fontId="10" fillId="0" borderId="0" xfId="0" applyNumberFormat="1" applyFont="1"/>
    <xf numFmtId="189" fontId="10" fillId="0" borderId="0" xfId="0" applyNumberFormat="1" applyFont="1"/>
    <xf numFmtId="188" fontId="10" fillId="0" borderId="0" xfId="0" applyNumberFormat="1" applyFont="1"/>
    <xf numFmtId="164" fontId="10" fillId="0" borderId="9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42" fontId="10" fillId="0" borderId="0" xfId="4" applyFont="1" applyBorder="1" applyAlignment="1">
      <alignment horizontal="right"/>
    </xf>
    <xf numFmtId="41" fontId="10" fillId="0" borderId="0" xfId="4" applyNumberFormat="1" applyFont="1" applyBorder="1" applyAlignment="1">
      <alignment horizontal="right"/>
    </xf>
    <xf numFmtId="42" fontId="19" fillId="0" borderId="0" xfId="4" applyFont="1" applyBorder="1" applyAlignment="1">
      <alignment horizontal="right"/>
    </xf>
    <xf numFmtId="41" fontId="10" fillId="0" borderId="0" xfId="4" applyNumberFormat="1" applyFont="1" applyFill="1" applyBorder="1" applyAlignment="1">
      <alignment horizontal="right"/>
    </xf>
    <xf numFmtId="41" fontId="10" fillId="0" borderId="0" xfId="0" applyNumberFormat="1" applyFont="1" applyAlignment="1">
      <alignment horizontal="right"/>
    </xf>
    <xf numFmtId="41" fontId="10" fillId="0" borderId="1" xfId="1" applyNumberFormat="1" applyFont="1" applyBorder="1" applyAlignment="1">
      <alignment horizontal="right"/>
    </xf>
    <xf numFmtId="42" fontId="19" fillId="8" borderId="1" xfId="1" applyNumberFormat="1" applyFont="1" applyFill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2" fontId="19" fillId="0" borderId="11" xfId="1" applyNumberFormat="1" applyFont="1" applyBorder="1" applyAlignment="1">
      <alignment horizontal="right"/>
    </xf>
    <xf numFmtId="42" fontId="10" fillId="0" borderId="15" xfId="4" applyFont="1" applyBorder="1" applyAlignment="1">
      <alignment horizontal="left"/>
    </xf>
    <xf numFmtId="42" fontId="10" fillId="0" borderId="1" xfId="1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19" fillId="4" borderId="13" xfId="0" applyFont="1" applyFill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horizontal="center"/>
    </xf>
    <xf numFmtId="4" fontId="19" fillId="4" borderId="14" xfId="0" applyNumberFormat="1" applyFont="1" applyFill="1" applyBorder="1" applyAlignment="1">
      <alignment horizontal="right"/>
    </xf>
    <xf numFmtId="4" fontId="10" fillId="4" borderId="10" xfId="0" applyNumberFormat="1" applyFont="1" applyFill="1" applyBorder="1" applyAlignment="1">
      <alignment horizontal="right"/>
    </xf>
    <xf numFmtId="4" fontId="19" fillId="4" borderId="1" xfId="0" applyNumberFormat="1" applyFont="1" applyFill="1" applyBorder="1" applyAlignment="1">
      <alignment horizontal="right"/>
    </xf>
    <xf numFmtId="4" fontId="10" fillId="4" borderId="7" xfId="0" applyNumberFormat="1" applyFont="1" applyFill="1" applyBorder="1" applyAlignment="1">
      <alignment horizontal="right"/>
    </xf>
    <xf numFmtId="0" fontId="19" fillId="0" borderId="23" xfId="0" applyFont="1" applyBorder="1" applyAlignment="1">
      <alignment vertical="center"/>
    </xf>
    <xf numFmtId="166" fontId="38" fillId="0" borderId="23" xfId="5" applyNumberFormat="1" applyFont="1" applyBorder="1" applyAlignment="1">
      <alignment horizontal="center" vertical="center"/>
    </xf>
    <xf numFmtId="42" fontId="19" fillId="0" borderId="23" xfId="0" applyNumberFormat="1" applyFont="1" applyBorder="1" applyAlignment="1">
      <alignment horizontal="right" vertical="center"/>
    </xf>
    <xf numFmtId="165" fontId="19" fillId="0" borderId="23" xfId="0" applyNumberFormat="1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44" fontId="26" fillId="0" borderId="32" xfId="0" applyNumberFormat="1" applyFont="1" applyBorder="1" applyAlignment="1">
      <alignment horizontal="center" vertical="center"/>
    </xf>
    <xf numFmtId="42" fontId="19" fillId="0" borderId="32" xfId="0" applyNumberFormat="1" applyFont="1" applyBorder="1" applyAlignment="1">
      <alignment horizontal="right" vertical="center"/>
    </xf>
    <xf numFmtId="42" fontId="19" fillId="0" borderId="2" xfId="0" applyNumberFormat="1" applyFont="1" applyBorder="1" applyAlignment="1">
      <alignment horizontal="right" vertical="center"/>
    </xf>
    <xf numFmtId="0" fontId="57" fillId="0" borderId="0" xfId="0" applyFont="1" applyAlignment="1">
      <alignment horizontal="center" vertical="center"/>
    </xf>
    <xf numFmtId="42" fontId="10" fillId="0" borderId="9" xfId="9" applyNumberFormat="1" applyFont="1" applyBorder="1"/>
    <xf numFmtId="41" fontId="21" fillId="0" borderId="1" xfId="0" applyNumberFormat="1" applyFont="1" applyBorder="1"/>
    <xf numFmtId="190" fontId="21" fillId="0" borderId="0" xfId="9" applyNumberFormat="1" applyFont="1" applyAlignment="1">
      <alignment horizontal="left"/>
    </xf>
    <xf numFmtId="190" fontId="21" fillId="0" borderId="1" xfId="9" applyNumberFormat="1" applyFont="1" applyBorder="1" applyAlignment="1">
      <alignment horizontal="left"/>
    </xf>
    <xf numFmtId="0" fontId="21" fillId="0" borderId="8" xfId="0" applyFont="1" applyBorder="1"/>
    <xf numFmtId="0" fontId="21" fillId="0" borderId="8" xfId="9" applyFont="1" applyBorder="1"/>
    <xf numFmtId="0" fontId="21" fillId="0" borderId="6" xfId="0" applyFont="1" applyBorder="1"/>
    <xf numFmtId="41" fontId="10" fillId="0" borderId="1" xfId="0" applyNumberFormat="1" applyFont="1" applyBorder="1"/>
    <xf numFmtId="41" fontId="10" fillId="0" borderId="7" xfId="0" applyNumberFormat="1" applyFont="1" applyBorder="1"/>
    <xf numFmtId="41" fontId="10" fillId="0" borderId="11" xfId="9" applyNumberFormat="1" applyFont="1" applyBorder="1"/>
    <xf numFmtId="41" fontId="21" fillId="0" borderId="11" xfId="9" applyNumberFormat="1" applyFont="1" applyBorder="1"/>
    <xf numFmtId="0" fontId="47" fillId="0" borderId="29" xfId="8" applyFont="1" applyBorder="1" applyProtection="1">
      <protection hidden="1"/>
    </xf>
    <xf numFmtId="0" fontId="47" fillId="0" borderId="18" xfId="8" applyFont="1" applyBorder="1" applyProtection="1">
      <protection hidden="1"/>
    </xf>
    <xf numFmtId="14" fontId="47" fillId="0" borderId="0" xfId="8" applyNumberFormat="1" applyFont="1" applyProtection="1">
      <protection hidden="1"/>
    </xf>
    <xf numFmtId="17" fontId="47" fillId="0" borderId="18" xfId="8" applyNumberFormat="1" applyFont="1" applyBorder="1" applyProtection="1">
      <protection hidden="1"/>
    </xf>
    <xf numFmtId="41" fontId="50" fillId="0" borderId="0" xfId="8" applyNumberFormat="1" applyFont="1" applyProtection="1">
      <protection hidden="1"/>
    </xf>
    <xf numFmtId="6" fontId="47" fillId="0" borderId="0" xfId="8" applyNumberFormat="1" applyFont="1" applyProtection="1">
      <protection hidden="1"/>
    </xf>
    <xf numFmtId="41" fontId="47" fillId="0" borderId="18" xfId="8" applyNumberFormat="1" applyFont="1" applyBorder="1" applyProtection="1">
      <protection hidden="1"/>
    </xf>
    <xf numFmtId="10" fontId="47" fillId="0" borderId="0" xfId="8" applyNumberFormat="1" applyFont="1" applyProtection="1">
      <protection hidden="1"/>
    </xf>
    <xf numFmtId="10" fontId="47" fillId="0" borderId="18" xfId="8" applyNumberFormat="1" applyFont="1" applyBorder="1" applyProtection="1">
      <protection hidden="1"/>
    </xf>
    <xf numFmtId="38" fontId="47" fillId="0" borderId="0" xfId="8" applyNumberFormat="1" applyFont="1" applyProtection="1">
      <protection hidden="1"/>
    </xf>
    <xf numFmtId="8" fontId="47" fillId="0" borderId="0" xfId="8" applyNumberFormat="1" applyFont="1" applyProtection="1">
      <protection hidden="1"/>
    </xf>
    <xf numFmtId="43" fontId="47" fillId="0" borderId="18" xfId="8" applyNumberFormat="1" applyFont="1" applyBorder="1" applyProtection="1">
      <protection hidden="1"/>
    </xf>
    <xf numFmtId="0" fontId="51" fillId="3" borderId="33" xfId="8" applyFont="1" applyFill="1" applyBorder="1" applyProtection="1">
      <protection hidden="1"/>
    </xf>
    <xf numFmtId="0" fontId="47" fillId="0" borderId="30" xfId="8" applyFont="1" applyBorder="1" applyProtection="1">
      <protection hidden="1"/>
    </xf>
    <xf numFmtId="41" fontId="47" fillId="0" borderId="31" xfId="8" applyNumberFormat="1" applyFont="1" applyBorder="1" applyProtection="1">
      <protection hidden="1"/>
    </xf>
    <xf numFmtId="0" fontId="47" fillId="5" borderId="29" xfId="8" applyFont="1" applyFill="1" applyBorder="1" applyProtection="1">
      <protection hidden="1"/>
    </xf>
    <xf numFmtId="0" fontId="47" fillId="5" borderId="18" xfId="8" applyFont="1" applyFill="1" applyBorder="1" applyProtection="1">
      <protection hidden="1"/>
    </xf>
    <xf numFmtId="14" fontId="47" fillId="5" borderId="0" xfId="8" applyNumberFormat="1" applyFont="1" applyFill="1" applyProtection="1">
      <protection hidden="1"/>
    </xf>
    <xf numFmtId="17" fontId="47" fillId="5" borderId="18" xfId="8" applyNumberFormat="1" applyFont="1" applyFill="1" applyBorder="1" applyProtection="1">
      <protection hidden="1"/>
    </xf>
    <xf numFmtId="41" fontId="58" fillId="5" borderId="0" xfId="8" applyNumberFormat="1" applyFont="1" applyFill="1" applyProtection="1">
      <protection hidden="1"/>
    </xf>
    <xf numFmtId="187" fontId="47" fillId="5" borderId="18" xfId="8" applyNumberFormat="1" applyFont="1" applyFill="1" applyBorder="1" applyProtection="1">
      <protection hidden="1"/>
    </xf>
    <xf numFmtId="6" fontId="47" fillId="5" borderId="0" xfId="8" applyNumberFormat="1" applyFont="1" applyFill="1" applyProtection="1">
      <protection hidden="1"/>
    </xf>
    <xf numFmtId="41" fontId="47" fillId="5" borderId="18" xfId="8" applyNumberFormat="1" applyFont="1" applyFill="1" applyBorder="1" applyProtection="1">
      <protection hidden="1"/>
    </xf>
    <xf numFmtId="10" fontId="49" fillId="2" borderId="0" xfId="5" applyNumberFormat="1" applyFont="1" applyFill="1" applyBorder="1" applyProtection="1">
      <protection hidden="1"/>
    </xf>
    <xf numFmtId="10" fontId="47" fillId="5" borderId="18" xfId="8" applyNumberFormat="1" applyFont="1" applyFill="1" applyBorder="1" applyProtection="1">
      <protection hidden="1"/>
    </xf>
    <xf numFmtId="38" fontId="50" fillId="2" borderId="0" xfId="8" applyNumberFormat="1" applyFont="1" applyFill="1" applyProtection="1">
      <protection hidden="1"/>
    </xf>
    <xf numFmtId="0" fontId="47" fillId="2" borderId="18" xfId="8" applyFont="1" applyFill="1" applyBorder="1" applyProtection="1">
      <protection hidden="1"/>
    </xf>
    <xf numFmtId="8" fontId="47" fillId="2" borderId="0" xfId="8" applyNumberFormat="1" applyFont="1" applyFill="1" applyProtection="1">
      <protection hidden="1"/>
    </xf>
    <xf numFmtId="43" fontId="47" fillId="2" borderId="18" xfId="8" applyNumberFormat="1" applyFont="1" applyFill="1" applyBorder="1" applyProtection="1">
      <protection hidden="1"/>
    </xf>
    <xf numFmtId="41" fontId="47" fillId="2" borderId="18" xfId="8" applyNumberFormat="1" applyFont="1" applyFill="1" applyBorder="1" applyProtection="1">
      <protection hidden="1"/>
    </xf>
    <xf numFmtId="14" fontId="47" fillId="2" borderId="0" xfId="8" applyNumberFormat="1" applyFont="1" applyFill="1" applyProtection="1">
      <protection hidden="1"/>
    </xf>
    <xf numFmtId="0" fontId="47" fillId="5" borderId="30" xfId="8" applyFont="1" applyFill="1" applyBorder="1" applyProtection="1">
      <protection hidden="1"/>
    </xf>
    <xf numFmtId="14" fontId="47" fillId="2" borderId="19" xfId="8" applyNumberFormat="1" applyFont="1" applyFill="1" applyBorder="1" applyProtection="1">
      <protection hidden="1"/>
    </xf>
    <xf numFmtId="41" fontId="47" fillId="2" borderId="19" xfId="8" applyNumberFormat="1" applyFont="1" applyFill="1" applyBorder="1" applyProtection="1">
      <protection hidden="1"/>
    </xf>
    <xf numFmtId="43" fontId="47" fillId="2" borderId="19" xfId="8" applyNumberFormat="1" applyFont="1" applyFill="1" applyBorder="1" applyProtection="1">
      <protection hidden="1"/>
    </xf>
    <xf numFmtId="41" fontId="47" fillId="2" borderId="31" xfId="8" applyNumberFormat="1" applyFont="1" applyFill="1" applyBorder="1" applyProtection="1">
      <protection hidden="1"/>
    </xf>
    <xf numFmtId="41" fontId="48" fillId="5" borderId="0" xfId="8" applyNumberFormat="1" applyFont="1" applyFill="1" applyProtection="1">
      <protection hidden="1"/>
    </xf>
    <xf numFmtId="10" fontId="50" fillId="2" borderId="0" xfId="5" applyNumberFormat="1" applyFont="1" applyFill="1" applyBorder="1" applyProtection="1">
      <protection hidden="1"/>
    </xf>
    <xf numFmtId="38" fontId="48" fillId="2" borderId="0" xfId="8" applyNumberFormat="1" applyFont="1" applyFill="1" applyProtection="1">
      <protection hidden="1"/>
    </xf>
    <xf numFmtId="6" fontId="47" fillId="2" borderId="0" xfId="8" applyNumberFormat="1" applyFont="1" applyFill="1" applyProtection="1">
      <protection hidden="1"/>
    </xf>
    <xf numFmtId="0" fontId="47" fillId="2" borderId="26" xfId="8" applyFont="1" applyFill="1" applyBorder="1" applyProtection="1">
      <protection hidden="1"/>
    </xf>
    <xf numFmtId="0" fontId="47" fillId="2" borderId="27" xfId="8" applyFont="1" applyFill="1" applyBorder="1" applyProtection="1">
      <protection hidden="1"/>
    </xf>
    <xf numFmtId="0" fontId="47" fillId="2" borderId="28" xfId="8" applyFont="1" applyFill="1" applyBorder="1" applyProtection="1">
      <protection hidden="1"/>
    </xf>
    <xf numFmtId="0" fontId="47" fillId="6" borderId="29" xfId="8" applyFont="1" applyFill="1" applyBorder="1" applyProtection="1">
      <protection hidden="1"/>
    </xf>
    <xf numFmtId="0" fontId="47" fillId="6" borderId="18" xfId="8" applyFont="1" applyFill="1" applyBorder="1" applyProtection="1">
      <protection hidden="1"/>
    </xf>
    <xf numFmtId="42" fontId="19" fillId="0" borderId="0" xfId="0" applyNumberFormat="1" applyFont="1" applyAlignment="1">
      <alignment vertical="center"/>
    </xf>
    <xf numFmtId="42" fontId="19" fillId="2" borderId="0" xfId="0" applyNumberFormat="1" applyFont="1" applyFill="1" applyAlignment="1">
      <alignment vertical="center"/>
    </xf>
    <xf numFmtId="178" fontId="19" fillId="0" borderId="0" xfId="0" applyNumberFormat="1" applyFont="1" applyAlignment="1">
      <alignment vertical="center"/>
    </xf>
    <xf numFmtId="0" fontId="56" fillId="0" borderId="0" xfId="0" applyFont="1" applyAlignment="1">
      <alignment horizontal="center" vertical="center"/>
    </xf>
    <xf numFmtId="2" fontId="19" fillId="0" borderId="0" xfId="0" applyNumberFormat="1" applyFont="1" applyAlignment="1">
      <alignment vertical="center"/>
    </xf>
    <xf numFmtId="10" fontId="19" fillId="0" borderId="0" xfId="5" applyNumberFormat="1" applyFont="1" applyFill="1" applyAlignment="1">
      <alignment horizontal="right" vertical="center"/>
    </xf>
    <xf numFmtId="9" fontId="21" fillId="0" borderId="0" xfId="0" applyNumberFormat="1" applyFont="1"/>
    <xf numFmtId="41" fontId="46" fillId="9" borderId="0" xfId="5" applyNumberFormat="1" applyFont="1" applyFill="1" applyAlignment="1">
      <alignment vertical="center" wrapText="1"/>
    </xf>
    <xf numFmtId="0" fontId="21" fillId="0" borderId="11" xfId="0" applyFont="1" applyBorder="1"/>
    <xf numFmtId="14" fontId="21" fillId="0" borderId="11" xfId="0" applyNumberFormat="1" applyFont="1" applyBorder="1"/>
    <xf numFmtId="169" fontId="19" fillId="8" borderId="1" xfId="0" applyNumberFormat="1" applyFont="1" applyFill="1" applyBorder="1" applyAlignment="1">
      <alignment horizontal="center"/>
    </xf>
    <xf numFmtId="191" fontId="19" fillId="8" borderId="1" xfId="0" applyNumberFormat="1" applyFont="1" applyFill="1" applyBorder="1" applyAlignment="1">
      <alignment horizontal="center"/>
    </xf>
    <xf numFmtId="0" fontId="59" fillId="0" borderId="0" xfId="20" applyFont="1"/>
    <xf numFmtId="0" fontId="60" fillId="0" borderId="0" xfId="20" applyFont="1" applyAlignment="1" applyProtection="1">
      <alignment horizontal="center"/>
      <protection locked="0"/>
    </xf>
    <xf numFmtId="0" fontId="61" fillId="11" borderId="1" xfId="20" applyFont="1" applyFill="1" applyBorder="1" applyAlignment="1">
      <alignment horizontal="centerContinuous"/>
    </xf>
    <xf numFmtId="0" fontId="62" fillId="0" borderId="0" xfId="20" applyFont="1" applyAlignment="1">
      <alignment horizontal="center" wrapText="1"/>
    </xf>
    <xf numFmtId="0" fontId="62" fillId="0" borderId="34" xfId="20" applyFont="1" applyBorder="1" applyAlignment="1">
      <alignment horizontal="centerContinuous"/>
    </xf>
    <xf numFmtId="0" fontId="62" fillId="0" borderId="0" xfId="20" applyFont="1" applyAlignment="1">
      <alignment horizontal="centerContinuous" wrapText="1"/>
    </xf>
    <xf numFmtId="165" fontId="59" fillId="0" borderId="35" xfId="21" applyNumberFormat="1" applyFont="1" applyFill="1" applyBorder="1" applyAlignment="1">
      <alignment horizontal="center"/>
    </xf>
    <xf numFmtId="5" fontId="59" fillId="0" borderId="35" xfId="20" applyNumberFormat="1" applyFont="1" applyBorder="1"/>
    <xf numFmtId="5" fontId="63" fillId="0" borderId="35" xfId="20" applyNumberFormat="1" applyFont="1" applyBorder="1" applyAlignment="1" applyProtection="1">
      <alignment horizontal="center"/>
      <protection locked="0"/>
    </xf>
    <xf numFmtId="39" fontId="59" fillId="0" borderId="35" xfId="20" applyNumberFormat="1" applyFont="1" applyBorder="1"/>
    <xf numFmtId="37" fontId="60" fillId="0" borderId="35" xfId="20" applyNumberFormat="1" applyFont="1" applyBorder="1" applyAlignment="1" applyProtection="1">
      <alignment horizontal="center"/>
      <protection locked="0"/>
    </xf>
    <xf numFmtId="37" fontId="59" fillId="0" borderId="35" xfId="20" applyNumberFormat="1" applyFont="1" applyBorder="1"/>
    <xf numFmtId="37" fontId="59" fillId="0" borderId="0" xfId="20" applyNumberFormat="1" applyFont="1" applyAlignment="1">
      <alignment horizontal="center"/>
    </xf>
    <xf numFmtId="165" fontId="59" fillId="0" borderId="0" xfId="21" applyNumberFormat="1" applyFont="1" applyFill="1" applyBorder="1" applyAlignment="1">
      <alignment horizontal="center"/>
    </xf>
    <xf numFmtId="0" fontId="59" fillId="0" borderId="0" xfId="20" applyFont="1" applyAlignment="1">
      <alignment horizontal="center"/>
    </xf>
    <xf numFmtId="5" fontId="59" fillId="0" borderId="0" xfId="20" applyNumberFormat="1" applyFont="1"/>
    <xf numFmtId="5" fontId="63" fillId="0" borderId="0" xfId="20" applyNumberFormat="1" applyFont="1" applyAlignment="1" applyProtection="1">
      <alignment horizontal="center"/>
      <protection locked="0"/>
    </xf>
    <xf numFmtId="39" fontId="59" fillId="0" borderId="0" xfId="20" applyNumberFormat="1" applyFont="1"/>
    <xf numFmtId="37" fontId="60" fillId="0" borderId="0" xfId="20" applyNumberFormat="1" applyFont="1" applyAlignment="1" applyProtection="1">
      <alignment horizontal="center"/>
      <protection locked="0"/>
    </xf>
    <xf numFmtId="37" fontId="59" fillId="0" borderId="0" xfId="20" applyNumberFormat="1" applyFont="1"/>
    <xf numFmtId="37" fontId="63" fillId="0" borderId="0" xfId="20" applyNumberFormat="1" applyFont="1" applyAlignment="1" applyProtection="1">
      <alignment horizontal="center"/>
      <protection locked="0"/>
    </xf>
    <xf numFmtId="166" fontId="59" fillId="0" borderId="0" xfId="20" applyNumberFormat="1" applyFont="1"/>
    <xf numFmtId="0" fontId="62" fillId="0" borderId="26" xfId="20" applyFont="1" applyBorder="1" applyAlignment="1">
      <alignment horizontal="centerContinuous"/>
    </xf>
    <xf numFmtId="0" fontId="62" fillId="0" borderId="28" xfId="20" applyFont="1" applyBorder="1" applyAlignment="1">
      <alignment horizontal="centerContinuous"/>
    </xf>
    <xf numFmtId="0" fontId="59" fillId="0" borderId="1" xfId="20" applyFont="1" applyBorder="1" applyAlignment="1">
      <alignment horizontal="center"/>
    </xf>
    <xf numFmtId="0" fontId="59" fillId="0" borderId="0" xfId="20" applyFont="1" applyAlignment="1">
      <alignment wrapText="1"/>
    </xf>
    <xf numFmtId="197" fontId="59" fillId="0" borderId="29" xfId="20" applyNumberFormat="1" applyFont="1" applyBorder="1" applyAlignment="1">
      <alignment horizontal="center"/>
    </xf>
    <xf numFmtId="165" fontId="59" fillId="0" borderId="18" xfId="20" applyNumberFormat="1" applyFont="1" applyBorder="1"/>
    <xf numFmtId="0" fontId="62" fillId="0" borderId="27" xfId="20" applyFont="1" applyBorder="1" applyAlignment="1">
      <alignment horizontal="center"/>
    </xf>
    <xf numFmtId="0" fontId="62" fillId="0" borderId="0" xfId="20" applyFont="1" applyAlignment="1">
      <alignment horizontal="center"/>
    </xf>
    <xf numFmtId="198" fontId="59" fillId="0" borderId="0" xfId="20" applyNumberFormat="1" applyFont="1" applyAlignment="1">
      <alignment horizontal="center"/>
    </xf>
    <xf numFmtId="0" fontId="62" fillId="0" borderId="34" xfId="20" applyFont="1" applyBorder="1" applyAlignment="1">
      <alignment horizontal="center" wrapText="1"/>
    </xf>
    <xf numFmtId="0" fontId="62" fillId="0" borderId="34" xfId="20" applyFont="1" applyBorder="1" applyAlignment="1">
      <alignment horizontal="center"/>
    </xf>
    <xf numFmtId="17" fontId="59" fillId="0" borderId="0" xfId="20" applyNumberFormat="1" applyFont="1"/>
    <xf numFmtId="1" fontId="59" fillId="0" borderId="0" xfId="20" applyNumberFormat="1" applyFont="1" applyAlignment="1" applyProtection="1">
      <alignment horizontal="center"/>
      <protection locked="0"/>
    </xf>
    <xf numFmtId="0" fontId="63" fillId="0" borderId="0" xfId="20" applyFont="1" applyAlignment="1" applyProtection="1">
      <alignment horizontal="center"/>
      <protection locked="0"/>
    </xf>
    <xf numFmtId="0" fontId="59" fillId="0" borderId="0" xfId="20" applyFont="1" applyAlignment="1" applyProtection="1">
      <alignment horizontal="center"/>
      <protection locked="0"/>
    </xf>
    <xf numFmtId="9" fontId="59" fillId="0" borderId="0" xfId="21" applyFont="1" applyFill="1" applyAlignment="1">
      <alignment horizontal="center"/>
    </xf>
    <xf numFmtId="173" fontId="59" fillId="0" borderId="0" xfId="20" applyNumberFormat="1" applyFont="1"/>
    <xf numFmtId="1" fontId="59" fillId="0" borderId="0" xfId="20" applyNumberFormat="1" applyFont="1" applyAlignment="1">
      <alignment horizontal="center"/>
    </xf>
    <xf numFmtId="9" fontId="59" fillId="0" borderId="0" xfId="21" applyFont="1" applyAlignment="1">
      <alignment horizontal="center"/>
    </xf>
    <xf numFmtId="197" fontId="59" fillId="0" borderId="30" xfId="20" applyNumberFormat="1" applyFont="1" applyBorder="1" applyAlignment="1">
      <alignment horizontal="center"/>
    </xf>
    <xf numFmtId="165" fontId="59" fillId="0" borderId="31" xfId="20" applyNumberFormat="1" applyFont="1" applyBorder="1"/>
    <xf numFmtId="10" fontId="59" fillId="0" borderId="33" xfId="20" applyNumberFormat="1" applyFont="1" applyBorder="1"/>
    <xf numFmtId="0" fontId="59" fillId="0" borderId="16" xfId="20" applyFont="1" applyBorder="1"/>
    <xf numFmtId="0" fontId="59" fillId="0" borderId="17" xfId="20" applyFont="1" applyBorder="1"/>
    <xf numFmtId="199" fontId="59" fillId="0" borderId="36" xfId="21" applyNumberFormat="1" applyFont="1" applyFill="1" applyBorder="1"/>
    <xf numFmtId="37" fontId="59" fillId="0" borderId="11" xfId="20" applyNumberFormat="1" applyFont="1" applyBorder="1"/>
    <xf numFmtId="199" fontId="59" fillId="0" borderId="36" xfId="21" applyNumberFormat="1" applyFont="1" applyBorder="1"/>
    <xf numFmtId="0" fontId="59" fillId="0" borderId="0" xfId="20" applyFont="1" applyAlignment="1">
      <alignment horizontal="centerContinuous"/>
    </xf>
    <xf numFmtId="10" fontId="59" fillId="0" borderId="0" xfId="20" applyNumberFormat="1" applyFont="1"/>
    <xf numFmtId="10" fontId="59" fillId="0" borderId="0" xfId="21" applyNumberFormat="1" applyFont="1" applyBorder="1"/>
    <xf numFmtId="10" fontId="59" fillId="0" borderId="36" xfId="21" applyNumberFormat="1" applyFont="1" applyBorder="1"/>
    <xf numFmtId="0" fontId="63" fillId="0" borderId="0" xfId="20" applyFont="1" applyAlignment="1">
      <alignment horizontal="center"/>
    </xf>
    <xf numFmtId="164" fontId="59" fillId="0" borderId="0" xfId="20" applyNumberFormat="1" applyFont="1"/>
    <xf numFmtId="37" fontId="59" fillId="0" borderId="14" xfId="20" applyNumberFormat="1" applyFont="1" applyBorder="1" applyAlignment="1">
      <alignment horizontal="center"/>
    </xf>
    <xf numFmtId="165" fontId="59" fillId="0" borderId="14" xfId="21" applyNumberFormat="1" applyFont="1" applyFill="1" applyBorder="1" applyAlignment="1"/>
    <xf numFmtId="0" fontId="59" fillId="0" borderId="14" xfId="20" applyFont="1" applyBorder="1"/>
    <xf numFmtId="3" fontId="59" fillId="0" borderId="14" xfId="20" applyNumberFormat="1" applyFont="1" applyBorder="1" applyAlignment="1">
      <alignment horizontal="center"/>
    </xf>
    <xf numFmtId="164" fontId="59" fillId="0" borderId="14" xfId="20" applyNumberFormat="1" applyFont="1" applyBorder="1"/>
    <xf numFmtId="164" fontId="63" fillId="0" borderId="14" xfId="20" applyNumberFormat="1" applyFont="1" applyBorder="1" applyAlignment="1">
      <alignment horizontal="center"/>
    </xf>
    <xf numFmtId="37" fontId="59" fillId="0" borderId="14" xfId="20" applyNumberFormat="1" applyFont="1" applyBorder="1"/>
    <xf numFmtId="39" fontId="59" fillId="0" borderId="14" xfId="20" applyNumberFormat="1" applyFont="1" applyBorder="1" applyAlignment="1">
      <alignment horizontal="right"/>
    </xf>
    <xf numFmtId="37" fontId="60" fillId="0" borderId="14" xfId="20" applyNumberFormat="1" applyFont="1" applyBorder="1" applyAlignment="1">
      <alignment horizontal="center"/>
    </xf>
    <xf numFmtId="165" fontId="59" fillId="0" borderId="0" xfId="21" applyNumberFormat="1" applyFont="1" applyFill="1" applyBorder="1" applyAlignment="1"/>
    <xf numFmtId="3" fontId="59" fillId="0" borderId="0" xfId="20" applyNumberFormat="1" applyFont="1" applyAlignment="1">
      <alignment horizontal="center"/>
    </xf>
    <xf numFmtId="164" fontId="63" fillId="0" borderId="0" xfId="20" applyNumberFormat="1" applyFont="1" applyAlignment="1">
      <alignment horizontal="center"/>
    </xf>
    <xf numFmtId="39" fontId="59" fillId="0" borderId="0" xfId="20" applyNumberFormat="1" applyFont="1" applyAlignment="1">
      <alignment horizontal="right"/>
    </xf>
    <xf numFmtId="37" fontId="60" fillId="0" borderId="0" xfId="20" applyNumberFormat="1" applyFont="1" applyAlignment="1">
      <alignment horizontal="center"/>
    </xf>
    <xf numFmtId="37" fontId="59" fillId="0" borderId="1" xfId="20" applyNumberFormat="1" applyFont="1" applyBorder="1" applyAlignment="1">
      <alignment horizontal="center"/>
    </xf>
    <xf numFmtId="165" fontId="59" fillId="0" borderId="1" xfId="21" applyNumberFormat="1" applyFont="1" applyFill="1" applyBorder="1" applyAlignment="1">
      <alignment horizontal="center"/>
    </xf>
    <xf numFmtId="0" fontId="59" fillId="0" borderId="1" xfId="20" applyFont="1" applyBorder="1"/>
    <xf numFmtId="3" fontId="59" fillId="0" borderId="1" xfId="20" applyNumberFormat="1" applyFont="1" applyBorder="1" applyAlignment="1">
      <alignment horizontal="center"/>
    </xf>
    <xf numFmtId="164" fontId="59" fillId="0" borderId="1" xfId="20" applyNumberFormat="1" applyFont="1" applyBorder="1"/>
    <xf numFmtId="164" fontId="63" fillId="0" borderId="1" xfId="20" applyNumberFormat="1" applyFont="1" applyBorder="1" applyAlignment="1">
      <alignment horizontal="center"/>
    </xf>
    <xf numFmtId="37" fontId="59" fillId="0" borderId="1" xfId="20" applyNumberFormat="1" applyFont="1" applyBorder="1"/>
    <xf numFmtId="39" fontId="59" fillId="0" borderId="1" xfId="20" applyNumberFormat="1" applyFont="1" applyBorder="1" applyAlignment="1">
      <alignment horizontal="right"/>
    </xf>
    <xf numFmtId="37" fontId="60" fillId="0" borderId="1" xfId="20" applyNumberFormat="1" applyFont="1" applyBorder="1" applyAlignment="1">
      <alignment horizontal="center"/>
    </xf>
    <xf numFmtId="0" fontId="10" fillId="0" borderId="37" xfId="0" applyFont="1" applyBorder="1"/>
    <xf numFmtId="10" fontId="21" fillId="0" borderId="37" xfId="5" applyNumberFormat="1" applyFont="1" applyBorder="1" applyAlignment="1">
      <alignment horizontal="center" vertical="center"/>
    </xf>
    <xf numFmtId="10" fontId="19" fillId="0" borderId="37" xfId="5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39" fillId="0" borderId="5" xfId="0" applyFont="1" applyBorder="1" applyAlignment="1">
      <alignment horizontal="center" vertical="center"/>
    </xf>
    <xf numFmtId="0" fontId="12" fillId="0" borderId="5" xfId="0" applyFont="1" applyBorder="1"/>
    <xf numFmtId="0" fontId="19" fillId="0" borderId="5" xfId="0" applyFont="1" applyBorder="1" applyAlignment="1">
      <alignment vertical="center"/>
    </xf>
    <xf numFmtId="0" fontId="44" fillId="0" borderId="5" xfId="0" applyFont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42" fontId="19" fillId="0" borderId="5" xfId="0" applyNumberFormat="1" applyFont="1" applyBorder="1" applyAlignment="1">
      <alignment horizontal="center" vertical="center"/>
    </xf>
    <xf numFmtId="14" fontId="10" fillId="0" borderId="38" xfId="0" applyNumberFormat="1" applyFont="1" applyBorder="1" applyAlignment="1">
      <alignment horizontal="center" vertical="center"/>
    </xf>
    <xf numFmtId="167" fontId="19" fillId="0" borderId="39" xfId="0" applyNumberFormat="1" applyFont="1" applyBorder="1" applyAlignment="1">
      <alignment horizontal="center" vertical="center"/>
    </xf>
    <xf numFmtId="42" fontId="21" fillId="0" borderId="38" xfId="0" applyNumberFormat="1" applyFont="1" applyBorder="1" applyAlignment="1">
      <alignment vertical="center"/>
    </xf>
    <xf numFmtId="9" fontId="39" fillId="0" borderId="38" xfId="5" applyFont="1" applyBorder="1" applyAlignment="1">
      <alignment horizontal="center" vertical="center"/>
    </xf>
    <xf numFmtId="164" fontId="21" fillId="0" borderId="38" xfId="0" applyNumberFormat="1" applyFont="1" applyBorder="1" applyAlignment="1">
      <alignment horizontal="center" vertical="center"/>
    </xf>
    <xf numFmtId="42" fontId="19" fillId="0" borderId="40" xfId="0" applyNumberFormat="1" applyFont="1" applyBorder="1" applyAlignment="1">
      <alignment vertical="center"/>
    </xf>
    <xf numFmtId="42" fontId="19" fillId="0" borderId="41" xfId="0" applyNumberFormat="1" applyFont="1" applyBorder="1" applyAlignment="1">
      <alignment horizontal="center" vertical="center"/>
    </xf>
    <xf numFmtId="197" fontId="59" fillId="0" borderId="0" xfId="20" applyNumberFormat="1" applyFont="1" applyAlignment="1">
      <alignment horizontal="center"/>
    </xf>
    <xf numFmtId="165" fontId="59" fillId="0" borderId="0" xfId="20" applyNumberFormat="1" applyFont="1"/>
    <xf numFmtId="165" fontId="59" fillId="0" borderId="14" xfId="20" applyNumberFormat="1" applyFont="1" applyBorder="1" applyAlignment="1">
      <alignment horizontal="center"/>
    </xf>
    <xf numFmtId="5" fontId="59" fillId="0" borderId="14" xfId="20" applyNumberFormat="1" applyFont="1" applyBorder="1"/>
    <xf numFmtId="166" fontId="59" fillId="0" borderId="14" xfId="20" applyNumberFormat="1" applyFont="1" applyBorder="1"/>
    <xf numFmtId="5" fontId="59" fillId="0" borderId="14" xfId="20" applyNumberFormat="1" applyFont="1" applyBorder="1" applyAlignment="1">
      <alignment horizontal="center"/>
    </xf>
    <xf numFmtId="168" fontId="21" fillId="0" borderId="0" xfId="3" applyNumberFormat="1" applyFont="1" applyBorder="1" applyAlignment="1">
      <alignment horizontal="center"/>
    </xf>
    <xf numFmtId="200" fontId="10" fillId="0" borderId="0" xfId="9" applyNumberFormat="1" applyFont="1"/>
    <xf numFmtId="37" fontId="21" fillId="0" borderId="0" xfId="3" applyNumberFormat="1" applyFont="1" applyBorder="1" applyAlignment="1">
      <alignment horizontal="right"/>
    </xf>
    <xf numFmtId="37" fontId="21" fillId="0" borderId="1" xfId="3" applyNumberFormat="1" applyFont="1" applyBorder="1" applyAlignment="1">
      <alignment horizontal="right"/>
    </xf>
    <xf numFmtId="42" fontId="10" fillId="0" borderId="7" xfId="9" applyNumberFormat="1" applyFont="1" applyBorder="1"/>
    <xf numFmtId="200" fontId="10" fillId="0" borderId="1" xfId="9" applyNumberFormat="1" applyFont="1" applyBorder="1"/>
    <xf numFmtId="41" fontId="19" fillId="7" borderId="1" xfId="0" applyNumberFormat="1" applyFont="1" applyFill="1" applyBorder="1" applyAlignment="1">
      <alignment horizontal="center"/>
    </xf>
    <xf numFmtId="37" fontId="10" fillId="0" borderId="0" xfId="0" applyNumberFormat="1" applyFont="1" applyAlignment="1">
      <alignment vertical="center"/>
    </xf>
    <xf numFmtId="17" fontId="10" fillId="0" borderId="0" xfId="0" applyNumberFormat="1" applyFont="1" applyAlignment="1">
      <alignment horizontal="center" vertical="center"/>
    </xf>
    <xf numFmtId="41" fontId="12" fillId="0" borderId="0" xfId="0" applyNumberFormat="1" applyFont="1"/>
    <xf numFmtId="164" fontId="64" fillId="0" borderId="0" xfId="0" applyNumberFormat="1" applyFont="1" applyAlignment="1">
      <alignment horizontal="center"/>
    </xf>
    <xf numFmtId="5" fontId="46" fillId="9" borderId="0" xfId="5" applyNumberFormat="1" applyFont="1" applyFill="1" applyAlignment="1">
      <alignment vertical="center" wrapText="1"/>
    </xf>
    <xf numFmtId="44" fontId="26" fillId="0" borderId="0" xfId="0" applyNumberFormat="1" applyFont="1" applyAlignment="1">
      <alignment horizontal="center" vertical="center"/>
    </xf>
    <xf numFmtId="10" fontId="39" fillId="0" borderId="0" xfId="5" applyNumberFormat="1" applyFont="1" applyAlignment="1">
      <alignment horizontal="center" vertical="center"/>
    </xf>
    <xf numFmtId="41" fontId="19" fillId="7" borderId="5" xfId="9" applyNumberFormat="1" applyFont="1" applyFill="1" applyBorder="1"/>
    <xf numFmtId="0" fontId="65" fillId="0" borderId="0" xfId="22" applyFont="1"/>
    <xf numFmtId="0" fontId="65" fillId="0" borderId="0" xfId="22" applyFont="1" applyAlignment="1">
      <alignment horizontal="center"/>
    </xf>
    <xf numFmtId="0" fontId="65" fillId="5" borderId="0" xfId="22" applyFont="1" applyFill="1"/>
    <xf numFmtId="0" fontId="65" fillId="5" borderId="0" xfId="22" applyFont="1" applyFill="1" applyAlignment="1">
      <alignment horizontal="center"/>
    </xf>
    <xf numFmtId="165" fontId="65" fillId="5" borderId="42" xfId="23" applyNumberFormat="1" applyFont="1" applyFill="1" applyBorder="1" applyAlignment="1">
      <alignment horizontal="center"/>
    </xf>
    <xf numFmtId="165" fontId="65" fillId="5" borderId="37" xfId="23" applyNumberFormat="1" applyFont="1" applyFill="1" applyBorder="1" applyAlignment="1">
      <alignment horizontal="center"/>
    </xf>
    <xf numFmtId="0" fontId="61" fillId="0" borderId="37" xfId="22" applyFont="1" applyBorder="1"/>
    <xf numFmtId="165" fontId="65" fillId="5" borderId="43" xfId="23" applyNumberFormat="1" applyFont="1" applyFill="1" applyBorder="1" applyAlignment="1">
      <alignment horizontal="center"/>
    </xf>
    <xf numFmtId="0" fontId="59" fillId="0" borderId="37" xfId="22" applyFont="1" applyBorder="1"/>
    <xf numFmtId="0" fontId="65" fillId="5" borderId="21" xfId="22" applyFont="1" applyFill="1" applyBorder="1" applyAlignment="1">
      <alignment horizontal="center"/>
    </xf>
    <xf numFmtId="0" fontId="59" fillId="0" borderId="0" xfId="22" applyFont="1"/>
    <xf numFmtId="165" fontId="65" fillId="5" borderId="44" xfId="23" applyNumberFormat="1" applyFont="1" applyFill="1" applyBorder="1" applyAlignment="1">
      <alignment horizontal="center"/>
    </xf>
    <xf numFmtId="0" fontId="65" fillId="5" borderId="37" xfId="22" applyFont="1" applyFill="1" applyBorder="1" applyAlignment="1">
      <alignment horizontal="center"/>
    </xf>
    <xf numFmtId="0" fontId="65" fillId="5" borderId="35" xfId="22" applyFont="1" applyFill="1" applyBorder="1"/>
    <xf numFmtId="0" fontId="65" fillId="5" borderId="37" xfId="22" applyFont="1" applyFill="1" applyBorder="1"/>
    <xf numFmtId="0" fontId="65" fillId="5" borderId="19" xfId="22" applyFont="1" applyFill="1" applyBorder="1"/>
    <xf numFmtId="0" fontId="69" fillId="5" borderId="19" xfId="22" applyFont="1" applyFill="1" applyBorder="1"/>
    <xf numFmtId="0" fontId="65" fillId="5" borderId="45" xfId="22" applyFont="1" applyFill="1" applyBorder="1"/>
    <xf numFmtId="0" fontId="65" fillId="5" borderId="34" xfId="22" applyFont="1" applyFill="1" applyBorder="1"/>
    <xf numFmtId="0" fontId="65" fillId="5" borderId="46" xfId="22" applyFont="1" applyFill="1" applyBorder="1"/>
    <xf numFmtId="42" fontId="70" fillId="5" borderId="47" xfId="22" applyNumberFormat="1" applyFont="1" applyFill="1" applyBorder="1"/>
    <xf numFmtId="42" fontId="65" fillId="5" borderId="0" xfId="22" applyNumberFormat="1" applyFont="1" applyFill="1"/>
    <xf numFmtId="0" fontId="71" fillId="5" borderId="0" xfId="22" applyFont="1" applyFill="1"/>
    <xf numFmtId="0" fontId="71" fillId="5" borderId="48" xfId="22" applyFont="1" applyFill="1" applyBorder="1"/>
    <xf numFmtId="0" fontId="70" fillId="5" borderId="49" xfId="22" applyFont="1" applyFill="1" applyBorder="1"/>
    <xf numFmtId="0" fontId="65" fillId="5" borderId="50" xfId="22" applyFont="1" applyFill="1" applyBorder="1"/>
    <xf numFmtId="0" fontId="70" fillId="5" borderId="0" xfId="22" applyFont="1" applyFill="1"/>
    <xf numFmtId="42" fontId="70" fillId="5" borderId="0" xfId="22" applyNumberFormat="1" applyFont="1" applyFill="1"/>
    <xf numFmtId="41" fontId="72" fillId="5" borderId="0" xfId="22" applyNumberFormat="1" applyFont="1" applyFill="1" applyProtection="1">
      <protection locked="0"/>
    </xf>
    <xf numFmtId="41" fontId="72" fillId="5" borderId="0" xfId="22" applyNumberFormat="1" applyFont="1" applyFill="1"/>
    <xf numFmtId="41" fontId="73" fillId="5" borderId="0" xfId="22" applyNumberFormat="1" applyFont="1" applyFill="1" applyProtection="1">
      <protection locked="0"/>
    </xf>
    <xf numFmtId="41" fontId="70" fillId="5" borderId="0" xfId="22" applyNumberFormat="1" applyFont="1" applyFill="1" applyProtection="1">
      <protection locked="0"/>
    </xf>
    <xf numFmtId="41" fontId="70" fillId="5" borderId="0" xfId="22" applyNumberFormat="1" applyFont="1" applyFill="1"/>
    <xf numFmtId="41" fontId="74" fillId="5" borderId="0" xfId="22" applyNumberFormat="1" applyFont="1" applyFill="1" applyProtection="1">
      <protection locked="0"/>
    </xf>
    <xf numFmtId="42" fontId="70" fillId="5" borderId="0" xfId="22" applyNumberFormat="1" applyFont="1" applyFill="1" applyProtection="1">
      <protection locked="0"/>
    </xf>
    <xf numFmtId="42" fontId="74" fillId="5" borderId="0" xfId="22" applyNumberFormat="1" applyFont="1" applyFill="1" applyProtection="1">
      <protection locked="0"/>
    </xf>
    <xf numFmtId="0" fontId="69" fillId="5" borderId="0" xfId="22" applyFont="1" applyFill="1"/>
    <xf numFmtId="41" fontId="65" fillId="5" borderId="0" xfId="22" applyNumberFormat="1" applyFont="1" applyFill="1"/>
    <xf numFmtId="0" fontId="74" fillId="5" borderId="0" xfId="22" applyFont="1" applyFill="1" applyProtection="1">
      <protection locked="0"/>
    </xf>
    <xf numFmtId="41" fontId="74" fillId="0" borderId="0" xfId="22" applyNumberFormat="1" applyFont="1" applyProtection="1">
      <protection locked="0"/>
    </xf>
    <xf numFmtId="10" fontId="65" fillId="5" borderId="0" xfId="23" applyNumberFormat="1" applyFont="1" applyFill="1" applyAlignment="1">
      <alignment horizontal="center"/>
    </xf>
    <xf numFmtId="165" fontId="65" fillId="5" borderId="0" xfId="23" applyNumberFormat="1" applyFont="1" applyFill="1" applyAlignment="1">
      <alignment horizontal="center"/>
    </xf>
    <xf numFmtId="0" fontId="71" fillId="12" borderId="1" xfId="22" applyFont="1" applyFill="1" applyBorder="1" applyAlignment="1">
      <alignment horizontal="center" vertical="center"/>
    </xf>
    <xf numFmtId="0" fontId="65" fillId="12" borderId="1" xfId="22" applyFont="1" applyFill="1" applyBorder="1" applyAlignment="1">
      <alignment horizontal="center"/>
    </xf>
    <xf numFmtId="0" fontId="70" fillId="12" borderId="1" xfId="22" applyFont="1" applyFill="1" applyBorder="1" applyAlignment="1">
      <alignment horizontal="center"/>
    </xf>
    <xf numFmtId="0" fontId="65" fillId="12" borderId="1" xfId="22" applyFont="1" applyFill="1" applyBorder="1"/>
    <xf numFmtId="0" fontId="71" fillId="12" borderId="0" xfId="22" applyFont="1" applyFill="1" applyAlignment="1">
      <alignment horizontal="center" vertical="center"/>
    </xf>
    <xf numFmtId="203" fontId="65" fillId="12" borderId="0" xfId="22" applyNumberFormat="1" applyFont="1" applyFill="1" applyAlignment="1">
      <alignment horizontal="center"/>
    </xf>
    <xf numFmtId="203" fontId="74" fillId="12" borderId="0" xfId="22" applyNumberFormat="1" applyFont="1" applyFill="1" applyAlignment="1" applyProtection="1">
      <alignment horizontal="center"/>
      <protection locked="0"/>
    </xf>
    <xf numFmtId="0" fontId="65" fillId="12" borderId="0" xfId="22" applyFont="1" applyFill="1"/>
    <xf numFmtId="0" fontId="70" fillId="5" borderId="0" xfId="22" applyFont="1" applyFill="1" applyAlignment="1">
      <alignment vertical="center"/>
    </xf>
    <xf numFmtId="0" fontId="70" fillId="5" borderId="0" xfId="22" applyFont="1" applyFill="1" applyAlignment="1">
      <alignment horizontal="center" vertical="center"/>
    </xf>
    <xf numFmtId="0" fontId="70" fillId="5" borderId="0" xfId="22" applyFont="1" applyFill="1" applyAlignment="1">
      <alignment horizontal="right" vertical="center"/>
    </xf>
    <xf numFmtId="14" fontId="70" fillId="5" borderId="0" xfId="22" applyNumberFormat="1" applyFont="1" applyFill="1" applyAlignment="1">
      <alignment vertical="center"/>
    </xf>
    <xf numFmtId="205" fontId="70" fillId="5" borderId="0" xfId="22" applyNumberFormat="1" applyFont="1" applyFill="1" applyAlignment="1">
      <alignment horizontal="center"/>
    </xf>
    <xf numFmtId="22" fontId="70" fillId="5" borderId="0" xfId="22" applyNumberFormat="1" applyFont="1" applyFill="1"/>
    <xf numFmtId="0" fontId="70" fillId="5" borderId="0" xfId="22" applyFont="1" applyFill="1" applyAlignment="1">
      <alignment horizontal="right"/>
    </xf>
    <xf numFmtId="0" fontId="70" fillId="5" borderId="0" xfId="22" applyFont="1" applyFill="1" applyAlignment="1">
      <alignment horizontal="center"/>
    </xf>
    <xf numFmtId="0" fontId="65" fillId="5" borderId="3" xfId="22" applyFont="1" applyFill="1" applyBorder="1"/>
    <xf numFmtId="0" fontId="75" fillId="0" borderId="0" xfId="24" applyFont="1"/>
    <xf numFmtId="0" fontId="75" fillId="0" borderId="0" xfId="24" applyFont="1" applyAlignment="1">
      <alignment horizontal="center"/>
    </xf>
    <xf numFmtId="0" fontId="75" fillId="13" borderId="0" xfId="24" applyFont="1" applyFill="1"/>
    <xf numFmtId="5" fontId="76" fillId="0" borderId="1" xfId="24" applyNumberFormat="1" applyFont="1" applyBorder="1"/>
    <xf numFmtId="0" fontId="77" fillId="0" borderId="0" xfId="24" applyFont="1"/>
    <xf numFmtId="0" fontId="75" fillId="0" borderId="2" xfId="24" applyFont="1" applyBorder="1"/>
    <xf numFmtId="5" fontId="77" fillId="0" borderId="14" xfId="24" applyNumberFormat="1" applyFont="1" applyBorder="1"/>
    <xf numFmtId="206" fontId="78" fillId="0" borderId="0" xfId="24" applyNumberFormat="1" applyFont="1" applyAlignment="1">
      <alignment horizontal="center"/>
    </xf>
    <xf numFmtId="207" fontId="79" fillId="0" borderId="0" xfId="24" applyNumberFormat="1" applyFont="1" applyAlignment="1">
      <alignment horizontal="center"/>
    </xf>
    <xf numFmtId="0" fontId="78" fillId="0" borderId="0" xfId="24" applyFont="1" applyAlignment="1">
      <alignment horizontal="center"/>
    </xf>
    <xf numFmtId="206" fontId="79" fillId="0" borderId="0" xfId="24" applyNumberFormat="1" applyFont="1" applyAlignment="1">
      <alignment horizontal="center"/>
    </xf>
    <xf numFmtId="0" fontId="79" fillId="0" borderId="0" xfId="24" applyFont="1" applyAlignment="1">
      <alignment horizontal="center"/>
    </xf>
    <xf numFmtId="168" fontId="75" fillId="0" borderId="0" xfId="25" applyNumberFormat="1" applyFont="1"/>
    <xf numFmtId="9" fontId="79" fillId="0" borderId="0" xfId="26" applyFont="1" applyAlignment="1">
      <alignment horizontal="center"/>
    </xf>
    <xf numFmtId="3" fontId="79" fillId="0" borderId="0" xfId="24" applyNumberFormat="1" applyFont="1" applyAlignment="1">
      <alignment horizontal="center"/>
    </xf>
    <xf numFmtId="44" fontId="79" fillId="0" borderId="0" xfId="25" applyFont="1"/>
    <xf numFmtId="5" fontId="75" fillId="0" borderId="0" xfId="24" applyNumberFormat="1" applyFont="1"/>
    <xf numFmtId="206" fontId="78" fillId="0" borderId="1" xfId="24" applyNumberFormat="1" applyFont="1" applyBorder="1" applyAlignment="1">
      <alignment horizontal="center"/>
    </xf>
    <xf numFmtId="207" fontId="79" fillId="0" borderId="1" xfId="24" applyNumberFormat="1" applyFont="1" applyBorder="1" applyAlignment="1">
      <alignment horizontal="center"/>
    </xf>
    <xf numFmtId="0" fontId="78" fillId="0" borderId="1" xfId="24" applyFont="1" applyBorder="1" applyAlignment="1">
      <alignment horizontal="center"/>
    </xf>
    <xf numFmtId="206" fontId="79" fillId="0" borderId="1" xfId="24" applyNumberFormat="1" applyFont="1" applyBorder="1" applyAlignment="1">
      <alignment horizontal="center"/>
    </xf>
    <xf numFmtId="0" fontId="75" fillId="13" borderId="1" xfId="24" applyFont="1" applyFill="1" applyBorder="1"/>
    <xf numFmtId="0" fontId="79" fillId="0" borderId="1" xfId="24" applyFont="1" applyBorder="1" applyAlignment="1">
      <alignment horizontal="center"/>
    </xf>
    <xf numFmtId="168" fontId="75" fillId="0" borderId="1" xfId="25" applyNumberFormat="1" applyFont="1" applyBorder="1"/>
    <xf numFmtId="9" fontId="79" fillId="0" borderId="1" xfId="26" applyFont="1" applyBorder="1" applyAlignment="1">
      <alignment horizontal="center"/>
    </xf>
    <xf numFmtId="3" fontId="79" fillId="0" borderId="1" xfId="24" applyNumberFormat="1" applyFont="1" applyBorder="1" applyAlignment="1">
      <alignment horizontal="center"/>
    </xf>
    <xf numFmtId="44" fontId="79" fillId="0" borderId="1" xfId="25" applyFont="1" applyBorder="1"/>
    <xf numFmtId="0" fontId="79" fillId="0" borderId="1" xfId="24" applyFont="1" applyBorder="1"/>
    <xf numFmtId="0" fontId="79" fillId="0" borderId="0" xfId="24" applyFont="1"/>
    <xf numFmtId="5" fontId="75" fillId="0" borderId="1" xfId="24" applyNumberFormat="1" applyFont="1" applyBorder="1"/>
    <xf numFmtId="0" fontId="75" fillId="0" borderId="1" xfId="24" applyFont="1" applyBorder="1"/>
    <xf numFmtId="0" fontId="77" fillId="0" borderId="1" xfId="24" applyFont="1" applyBorder="1"/>
    <xf numFmtId="5" fontId="77" fillId="0" borderId="0" xfId="24" applyNumberFormat="1" applyFont="1"/>
    <xf numFmtId="168" fontId="75" fillId="0" borderId="0" xfId="25" applyNumberFormat="1" applyFont="1" applyBorder="1"/>
    <xf numFmtId="9" fontId="79" fillId="0" borderId="0" xfId="26" applyFont="1" applyBorder="1" applyAlignment="1">
      <alignment horizontal="center"/>
    </xf>
    <xf numFmtId="44" fontId="79" fillId="0" borderId="0" xfId="25" applyFont="1" applyBorder="1"/>
    <xf numFmtId="0" fontId="75" fillId="0" borderId="1" xfId="24" applyFont="1" applyBorder="1" applyAlignment="1">
      <alignment horizontal="center"/>
    </xf>
    <xf numFmtId="0" fontId="77" fillId="0" borderId="1" xfId="24" applyFont="1" applyBorder="1" applyAlignment="1">
      <alignment horizontal="center"/>
    </xf>
    <xf numFmtId="0" fontId="80" fillId="0" borderId="0" xfId="24" applyFont="1" applyAlignment="1">
      <alignment horizontal="center"/>
    </xf>
    <xf numFmtId="0" fontId="80" fillId="0" borderId="0" xfId="24" applyFont="1"/>
    <xf numFmtId="0" fontId="80" fillId="3" borderId="0" xfId="24" applyFont="1" applyFill="1" applyAlignment="1">
      <alignment horizontal="center"/>
    </xf>
    <xf numFmtId="0" fontId="81" fillId="14" borderId="0" xfId="24" applyFont="1" applyFill="1" applyAlignment="1">
      <alignment horizontal="center"/>
    </xf>
    <xf numFmtId="0" fontId="80" fillId="3" borderId="0" xfId="24" applyFont="1" applyFill="1" applyAlignment="1">
      <alignment horizontal="center" wrapText="1"/>
    </xf>
    <xf numFmtId="0" fontId="80" fillId="0" borderId="0" xfId="24" applyFont="1" applyAlignment="1">
      <alignment wrapText="1"/>
    </xf>
    <xf numFmtId="0" fontId="80" fillId="0" borderId="0" xfId="24" applyFont="1" applyAlignment="1">
      <alignment horizontal="center" wrapText="1"/>
    </xf>
    <xf numFmtId="0" fontId="80" fillId="3" borderId="14" xfId="24" applyFont="1" applyFill="1" applyBorder="1" applyAlignment="1">
      <alignment horizontal="center" wrapText="1"/>
    </xf>
    <xf numFmtId="0" fontId="80" fillId="3" borderId="0" xfId="24" applyFont="1" applyFill="1" applyAlignment="1">
      <alignment wrapText="1"/>
    </xf>
    <xf numFmtId="206" fontId="77" fillId="4" borderId="0" xfId="24" applyNumberFormat="1" applyFont="1" applyFill="1" applyAlignment="1">
      <alignment horizontal="center"/>
    </xf>
    <xf numFmtId="0" fontId="77" fillId="4" borderId="0" xfId="24" applyFont="1" applyFill="1"/>
    <xf numFmtId="3" fontId="75" fillId="0" borderId="0" xfId="24" applyNumberFormat="1" applyFont="1" applyAlignment="1">
      <alignment horizontal="center"/>
    </xf>
    <xf numFmtId="3" fontId="79" fillId="0" borderId="0" xfId="24" applyNumberFormat="1" applyFont="1"/>
    <xf numFmtId="0" fontId="19" fillId="4" borderId="3" xfId="0" applyFont="1" applyFill="1" applyBorder="1"/>
    <xf numFmtId="0" fontId="10" fillId="4" borderId="5" xfId="0" applyFont="1" applyFill="1" applyBorder="1"/>
    <xf numFmtId="0" fontId="10" fillId="4" borderId="5" xfId="0" applyFont="1" applyFill="1" applyBorder="1" applyAlignment="1">
      <alignment horizontal="center"/>
    </xf>
    <xf numFmtId="9" fontId="19" fillId="4" borderId="5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42" fontId="19" fillId="4" borderId="5" xfId="1" applyNumberFormat="1" applyFont="1" applyFill="1" applyBorder="1" applyAlignment="1">
      <alignment horizontal="right"/>
    </xf>
    <xf numFmtId="164" fontId="19" fillId="4" borderId="4" xfId="1" applyNumberFormat="1" applyFont="1" applyFill="1" applyBorder="1" applyAlignment="1">
      <alignment horizontal="right"/>
    </xf>
    <xf numFmtId="0" fontId="19" fillId="8" borderId="3" xfId="0" applyFont="1" applyFill="1" applyBorder="1"/>
    <xf numFmtId="9" fontId="10" fillId="8" borderId="5" xfId="0" applyNumberFormat="1" applyFont="1" applyFill="1" applyBorder="1"/>
    <xf numFmtId="0" fontId="10" fillId="8" borderId="5" xfId="0" applyFont="1" applyFill="1" applyBorder="1" applyAlignment="1">
      <alignment horizontal="center"/>
    </xf>
    <xf numFmtId="9" fontId="21" fillId="8" borderId="5" xfId="0" applyNumberFormat="1" applyFont="1" applyFill="1" applyBorder="1" applyAlignment="1">
      <alignment horizontal="center"/>
    </xf>
    <xf numFmtId="0" fontId="10" fillId="8" borderId="5" xfId="0" applyFont="1" applyFill="1" applyBorder="1"/>
    <xf numFmtId="10" fontId="10" fillId="8" borderId="5" xfId="0" applyNumberFormat="1" applyFont="1" applyFill="1" applyBorder="1"/>
    <xf numFmtId="42" fontId="19" fillId="8" borderId="5" xfId="1" applyNumberFormat="1" applyFont="1" applyFill="1" applyBorder="1" applyAlignment="1">
      <alignment horizontal="left"/>
    </xf>
    <xf numFmtId="164" fontId="19" fillId="8" borderId="4" xfId="1" applyNumberFormat="1" applyFont="1" applyFill="1" applyBorder="1" applyAlignment="1">
      <alignment horizontal="right"/>
    </xf>
    <xf numFmtId="201" fontId="66" fillId="0" borderId="0" xfId="22" applyNumberFormat="1" applyFont="1" applyAlignment="1">
      <alignment horizontal="left"/>
    </xf>
    <xf numFmtId="204" fontId="66" fillId="0" borderId="0" xfId="22" quotePrefix="1" applyNumberFormat="1" applyFont="1" applyAlignment="1">
      <alignment horizontal="left"/>
    </xf>
    <xf numFmtId="204" fontId="66" fillId="0" borderId="0" xfId="22" applyNumberFormat="1" applyFont="1" applyAlignment="1">
      <alignment horizontal="left"/>
    </xf>
    <xf numFmtId="0" fontId="1" fillId="0" borderId="0" xfId="22"/>
    <xf numFmtId="202" fontId="66" fillId="0" borderId="0" xfId="22" applyNumberFormat="1" applyFont="1" applyAlignment="1">
      <alignment horizontal="left"/>
    </xf>
    <xf numFmtId="49" fontId="67" fillId="0" borderId="0" xfId="22" applyNumberFormat="1" applyFont="1"/>
    <xf numFmtId="0" fontId="84" fillId="0" borderId="0" xfId="0" applyFont="1" applyAlignment="1">
      <alignment vertical="top" wrapText="1" readingOrder="1"/>
    </xf>
    <xf numFmtId="0" fontId="85" fillId="0" borderId="0" xfId="0" applyFont="1" applyAlignment="1">
      <alignment horizontal="right" vertical="center" wrapText="1" readingOrder="1"/>
    </xf>
    <xf numFmtId="49" fontId="66" fillId="0" borderId="0" xfId="22" applyNumberFormat="1" applyFont="1"/>
    <xf numFmtId="4" fontId="66" fillId="0" borderId="0" xfId="22" applyNumberFormat="1" applyFont="1"/>
    <xf numFmtId="1" fontId="66" fillId="0" borderId="0" xfId="22" applyNumberFormat="1" applyFont="1"/>
    <xf numFmtId="201" fontId="66" fillId="0" borderId="0" xfId="22" quotePrefix="1" applyNumberFormat="1" applyFont="1" applyAlignment="1">
      <alignment horizontal="left"/>
    </xf>
    <xf numFmtId="2" fontId="66" fillId="0" borderId="0" xfId="22" applyNumberFormat="1" applyFont="1"/>
    <xf numFmtId="0" fontId="66" fillId="0" borderId="0" xfId="22" applyFont="1"/>
    <xf numFmtId="204" fontId="88" fillId="0" borderId="0" xfId="22" quotePrefix="1" applyNumberFormat="1" applyFont="1" applyAlignment="1">
      <alignment horizontal="left"/>
    </xf>
    <xf numFmtId="204" fontId="88" fillId="0" borderId="25" xfId="22" quotePrefix="1" applyNumberFormat="1" applyFont="1" applyBorder="1" applyAlignment="1">
      <alignment horizontal="left"/>
    </xf>
    <xf numFmtId="204" fontId="66" fillId="0" borderId="25" xfId="22" quotePrefix="1" applyNumberFormat="1" applyFont="1" applyBorder="1" applyAlignment="1">
      <alignment horizontal="left"/>
    </xf>
    <xf numFmtId="0" fontId="89" fillId="5" borderId="0" xfId="22" applyFont="1" applyFill="1" applyAlignment="1">
      <alignment horizontal="center"/>
    </xf>
    <xf numFmtId="0" fontId="88" fillId="0" borderId="25" xfId="0" applyFont="1" applyBorder="1" applyAlignment="1">
      <alignment horizontal="right" vertical="center" wrapText="1" readingOrder="1"/>
    </xf>
    <xf numFmtId="0" fontId="65" fillId="3" borderId="0" xfId="22" applyFont="1" applyFill="1" applyAlignment="1">
      <alignment horizontal="centerContinuous"/>
    </xf>
    <xf numFmtId="17" fontId="90" fillId="2" borderId="4" xfId="9" applyNumberFormat="1" applyFont="1" applyFill="1" applyBorder="1" applyAlignment="1">
      <alignment horizontal="right"/>
    </xf>
    <xf numFmtId="41" fontId="21" fillId="0" borderId="8" xfId="0" applyNumberFormat="1" applyFont="1" applyBorder="1" applyAlignment="1">
      <alignment horizontal="center"/>
    </xf>
    <xf numFmtId="41" fontId="19" fillId="7" borderId="3" xfId="0" applyNumberFormat="1" applyFont="1" applyFill="1" applyBorder="1" applyAlignment="1">
      <alignment horizontal="center"/>
    </xf>
    <xf numFmtId="0" fontId="86" fillId="0" borderId="0" xfId="0" applyFont="1" applyAlignment="1">
      <alignment vertical="top" wrapText="1" readingOrder="1"/>
    </xf>
    <xf numFmtId="0" fontId="86" fillId="0" borderId="25" xfId="0" applyFont="1" applyBorder="1" applyAlignment="1">
      <alignment horizontal="right" vertical="top" wrapText="1" readingOrder="1"/>
    </xf>
    <xf numFmtId="0" fontId="86" fillId="0" borderId="0" xfId="0" applyFont="1" applyAlignment="1">
      <alignment horizontal="right" vertical="top" wrapText="1" readingOrder="1"/>
    </xf>
    <xf numFmtId="1" fontId="19" fillId="0" borderId="14" xfId="0" applyNumberFormat="1" applyFont="1" applyBorder="1" applyAlignment="1">
      <alignment horizontal="center"/>
    </xf>
    <xf numFmtId="42" fontId="21" fillId="0" borderId="51" xfId="0" applyNumberFormat="1" applyFont="1" applyBorder="1" applyAlignment="1">
      <alignment vertical="center"/>
    </xf>
    <xf numFmtId="37" fontId="21" fillId="0" borderId="51" xfId="0" applyNumberFormat="1" applyFont="1" applyBorder="1" applyAlignment="1">
      <alignment vertical="center"/>
    </xf>
    <xf numFmtId="42" fontId="19" fillId="0" borderId="52" xfId="0" applyNumberFormat="1" applyFont="1" applyBorder="1" applyAlignment="1">
      <alignment vertical="center"/>
    </xf>
    <xf numFmtId="41" fontId="21" fillId="0" borderId="51" xfId="0" applyNumberFormat="1" applyFont="1" applyBorder="1" applyAlignment="1">
      <alignment vertical="center"/>
    </xf>
    <xf numFmtId="42" fontId="19" fillId="0" borderId="52" xfId="5" applyNumberFormat="1" applyFont="1" applyBorder="1" applyAlignment="1">
      <alignment horizontal="center" vertical="center"/>
    </xf>
    <xf numFmtId="184" fontId="27" fillId="0" borderId="53" xfId="1" applyNumberFormat="1" applyFont="1" applyBorder="1" applyAlignment="1">
      <alignment horizontal="center" vertical="center"/>
    </xf>
    <xf numFmtId="208" fontId="21" fillId="0" borderId="1" xfId="0" applyNumberFormat="1" applyFont="1" applyBorder="1" applyAlignment="1">
      <alignment vertical="center"/>
    </xf>
    <xf numFmtId="209" fontId="10" fillId="0" borderId="0" xfId="0" applyNumberFormat="1" applyFont="1" applyAlignment="1">
      <alignment vertical="center"/>
    </xf>
    <xf numFmtId="42" fontId="19" fillId="0" borderId="0" xfId="0" applyNumberFormat="1" applyFont="1"/>
    <xf numFmtId="0" fontId="21" fillId="0" borderId="54" xfId="0" applyFont="1" applyBorder="1"/>
    <xf numFmtId="165" fontId="21" fillId="0" borderId="25" xfId="5" applyNumberFormat="1" applyFont="1" applyFill="1" applyBorder="1" applyAlignment="1">
      <alignment horizontal="center" vertical="center" wrapText="1"/>
    </xf>
    <xf numFmtId="42" fontId="19" fillId="7" borderId="5" xfId="0" applyNumberFormat="1" applyFont="1" applyFill="1" applyBorder="1"/>
    <xf numFmtId="42" fontId="19" fillId="7" borderId="4" xfId="0" applyNumberFormat="1" applyFont="1" applyFill="1" applyBorder="1"/>
    <xf numFmtId="42" fontId="10" fillId="0" borderId="35" xfId="0" applyNumberFormat="1" applyFont="1" applyBorder="1"/>
    <xf numFmtId="42" fontId="10" fillId="0" borderId="55" xfId="0" applyNumberFormat="1" applyFont="1" applyBorder="1"/>
    <xf numFmtId="42" fontId="91" fillId="0" borderId="35" xfId="0" applyNumberFormat="1" applyFont="1" applyBorder="1"/>
    <xf numFmtId="0" fontId="19" fillId="7" borderId="11" xfId="0" applyFont="1" applyFill="1" applyBorder="1"/>
    <xf numFmtId="42" fontId="20" fillId="0" borderId="11" xfId="4" applyFont="1" applyBorder="1" applyAlignment="1">
      <alignment horizontal="right"/>
    </xf>
    <xf numFmtId="10" fontId="10" fillId="0" borderId="0" xfId="0" applyNumberFormat="1" applyFont="1" applyAlignment="1">
      <alignment horizontal="center"/>
    </xf>
    <xf numFmtId="182" fontId="20" fillId="0" borderId="0" xfId="0" applyNumberFormat="1" applyFont="1" applyAlignment="1">
      <alignment horizontal="center"/>
    </xf>
    <xf numFmtId="182" fontId="19" fillId="0" borderId="0" xfId="0" applyNumberFormat="1" applyFont="1" applyAlignment="1">
      <alignment horizontal="center"/>
    </xf>
    <xf numFmtId="0" fontId="10" fillId="0" borderId="3" xfId="0" applyFont="1" applyBorder="1"/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19" fillId="0" borderId="5" xfId="3" applyNumberFormat="1" applyFont="1" applyBorder="1" applyAlignment="1">
      <alignment horizontal="center"/>
    </xf>
    <xf numFmtId="182" fontId="10" fillId="0" borderId="5" xfId="2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60" fillId="0" borderId="35" xfId="20" applyFont="1" applyBorder="1"/>
    <xf numFmtId="37" fontId="60" fillId="0" borderId="35" xfId="20" applyNumberFormat="1" applyFont="1" applyBorder="1" applyAlignment="1">
      <alignment horizontal="center"/>
    </xf>
    <xf numFmtId="0" fontId="60" fillId="0" borderId="0" xfId="20" applyFont="1"/>
    <xf numFmtId="0" fontId="66" fillId="0" borderId="0" xfId="0" applyFont="1"/>
    <xf numFmtId="17" fontId="66" fillId="0" borderId="0" xfId="0" applyNumberFormat="1" applyFont="1"/>
    <xf numFmtId="0" fontId="85" fillId="0" borderId="0" xfId="0" applyFont="1"/>
    <xf numFmtId="4" fontId="66" fillId="0" borderId="0" xfId="0" applyNumberFormat="1" applyFont="1"/>
    <xf numFmtId="4" fontId="85" fillId="0" borderId="0" xfId="0" applyNumberFormat="1" applyFont="1"/>
    <xf numFmtId="4" fontId="66" fillId="0" borderId="56" xfId="0" applyNumberFormat="1" applyFont="1" applyBorder="1"/>
    <xf numFmtId="4" fontId="85" fillId="0" borderId="56" xfId="0" applyNumberFormat="1" applyFont="1" applyBorder="1"/>
    <xf numFmtId="0" fontId="0" fillId="0" borderId="56" xfId="0" applyBorder="1"/>
    <xf numFmtId="0" fontId="92" fillId="0" borderId="0" xfId="0" applyFont="1"/>
    <xf numFmtId="0" fontId="92" fillId="0" borderId="56" xfId="0" applyFont="1" applyBorder="1"/>
    <xf numFmtId="0" fontId="8" fillId="0" borderId="0" xfId="0" applyFont="1"/>
    <xf numFmtId="9" fontId="21" fillId="0" borderId="0" xfId="0" applyNumberFormat="1" applyFont="1" applyAlignment="1">
      <alignment vertical="center"/>
    </xf>
    <xf numFmtId="6" fontId="0" fillId="0" borderId="0" xfId="0" applyNumberFormat="1"/>
    <xf numFmtId="42" fontId="0" fillId="0" borderId="0" xfId="0" applyNumberFormat="1"/>
    <xf numFmtId="9" fontId="0" fillId="0" borderId="0" xfId="0" applyNumberFormat="1"/>
    <xf numFmtId="44" fontId="8" fillId="0" borderId="0" xfId="0" applyNumberFormat="1" applyFont="1"/>
    <xf numFmtId="168" fontId="75" fillId="0" borderId="0" xfId="24" applyNumberFormat="1" applyFont="1"/>
    <xf numFmtId="168" fontId="0" fillId="0" borderId="0" xfId="0" applyNumberFormat="1"/>
    <xf numFmtId="8" fontId="0" fillId="0" borderId="0" xfId="0" applyNumberFormat="1"/>
    <xf numFmtId="8" fontId="65" fillId="5" borderId="0" xfId="22" applyNumberFormat="1" applyFont="1" applyFill="1"/>
    <xf numFmtId="5" fontId="75" fillId="0" borderId="0" xfId="24" applyNumberFormat="1" applyFont="1" applyAlignment="1">
      <alignment horizontal="center"/>
    </xf>
    <xf numFmtId="0" fontId="93" fillId="0" borderId="0" xfId="0" applyFont="1"/>
    <xf numFmtId="0" fontId="93" fillId="0" borderId="0" xfId="0" applyFont="1" applyAlignment="1">
      <alignment wrapText="1"/>
    </xf>
    <xf numFmtId="165" fontId="0" fillId="0" borderId="0" xfId="0" applyNumberFormat="1"/>
    <xf numFmtId="8" fontId="8" fillId="0" borderId="0" xfId="0" applyNumberFormat="1" applyFont="1"/>
    <xf numFmtId="6" fontId="8" fillId="0" borderId="0" xfId="0" applyNumberFormat="1" applyFont="1"/>
    <xf numFmtId="8" fontId="93" fillId="0" borderId="0" xfId="0" applyNumberFormat="1" applyFont="1"/>
    <xf numFmtId="16" fontId="8" fillId="0" borderId="0" xfId="0" applyNumberFormat="1" applyFont="1"/>
    <xf numFmtId="164" fontId="0" fillId="0" borderId="0" xfId="0" applyNumberFormat="1"/>
    <xf numFmtId="5" fontId="12" fillId="0" borderId="0" xfId="0" applyNumberFormat="1" applyFont="1"/>
    <xf numFmtId="10" fontId="0" fillId="0" borderId="0" xfId="0" applyNumberFormat="1"/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93" fillId="0" borderId="11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8" fontId="0" fillId="0" borderId="9" xfId="0" applyNumberFormat="1" applyBorder="1"/>
    <xf numFmtId="0" fontId="0" fillId="0" borderId="6" xfId="0" applyBorder="1"/>
    <xf numFmtId="9" fontId="0" fillId="0" borderId="1" xfId="0" applyNumberFormat="1" applyBorder="1"/>
    <xf numFmtId="0" fontId="0" fillId="0" borderId="7" xfId="0" applyBorder="1"/>
    <xf numFmtId="9" fontId="0" fillId="0" borderId="9" xfId="0" applyNumberFormat="1" applyBorder="1"/>
    <xf numFmtId="8" fontId="0" fillId="0" borderId="1" xfId="0" applyNumberFormat="1" applyBorder="1"/>
    <xf numFmtId="8" fontId="0" fillId="0" borderId="7" xfId="0" applyNumberFormat="1" applyBorder="1"/>
    <xf numFmtId="8" fontId="95" fillId="0" borderId="0" xfId="0" applyNumberFormat="1" applyFont="1"/>
    <xf numFmtId="9" fontId="95" fillId="0" borderId="0" xfId="0" applyNumberFormat="1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93" fillId="0" borderId="0" xfId="0" applyNumberFormat="1" applyFont="1"/>
    <xf numFmtId="0" fontId="8" fillId="15" borderId="13" xfId="0" applyFont="1" applyFill="1" applyBorder="1"/>
    <xf numFmtId="9" fontId="0" fillId="15" borderId="10" xfId="0" applyNumberFormat="1" applyFill="1" applyBorder="1"/>
    <xf numFmtId="0" fontId="8" fillId="15" borderId="6" xfId="0" applyFont="1" applyFill="1" applyBorder="1"/>
    <xf numFmtId="10" fontId="0" fillId="15" borderId="7" xfId="0" applyNumberForma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 textRotation="90"/>
    </xf>
    <xf numFmtId="0" fontId="94" fillId="0" borderId="0" xfId="0" applyFont="1" applyAlignment="1">
      <alignment horizontal="center"/>
    </xf>
    <xf numFmtId="203" fontId="69" fillId="12" borderId="9" xfId="22" applyNumberFormat="1" applyFont="1" applyFill="1" applyBorder="1" applyAlignment="1">
      <alignment horizontal="center" vertical="center"/>
    </xf>
    <xf numFmtId="0" fontId="65" fillId="0" borderId="7" xfId="22" applyFont="1" applyBorder="1" applyAlignment="1">
      <alignment horizontal="center" vertical="center"/>
    </xf>
    <xf numFmtId="0" fontId="16" fillId="3" borderId="33" xfId="8" quotePrefix="1" applyFont="1" applyFill="1" applyBorder="1" applyAlignment="1" applyProtection="1">
      <alignment horizontal="center" vertical="center"/>
      <protection hidden="1"/>
    </xf>
    <xf numFmtId="0" fontId="16" fillId="3" borderId="16" xfId="8" quotePrefix="1" applyFont="1" applyFill="1" applyBorder="1" applyAlignment="1" applyProtection="1">
      <alignment horizontal="center" vertical="center"/>
      <protection hidden="1"/>
    </xf>
    <xf numFmtId="0" fontId="16" fillId="3" borderId="17" xfId="8" quotePrefix="1" applyFont="1" applyFill="1" applyBorder="1" applyAlignment="1" applyProtection="1">
      <alignment horizontal="center" vertical="center"/>
      <protection hidden="1"/>
    </xf>
    <xf numFmtId="0" fontId="77" fillId="4" borderId="0" xfId="24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93" fillId="0" borderId="0" xfId="0" applyFont="1" applyAlignment="1">
      <alignment horizontal="center"/>
    </xf>
    <xf numFmtId="185" fontId="96" fillId="0" borderId="0" xfId="0" applyNumberFormat="1" applyFont="1"/>
  </cellXfs>
  <cellStyles count="27">
    <cellStyle name="Comma" xfId="1" builtinId="3"/>
    <cellStyle name="Comma [0]" xfId="2" builtinId="6"/>
    <cellStyle name="Currency" xfId="3" builtinId="4"/>
    <cellStyle name="Currency [0]" xfId="4" builtinId="7"/>
    <cellStyle name="Currency 13 2" xfId="11" xr:uid="{00000000-0005-0000-0000-000004000000}"/>
    <cellStyle name="Currency 2" xfId="7" xr:uid="{00000000-0005-0000-0000-000005000000}"/>
    <cellStyle name="Currency 3" xfId="25" xr:uid="{8B84B3EC-8F13-4C23-B349-3DC6EFDE4209}"/>
    <cellStyle name="Normal" xfId="0" builtinId="0"/>
    <cellStyle name="Normal 2" xfId="6" xr:uid="{00000000-0005-0000-0000-000007000000}"/>
    <cellStyle name="Normal 22 2" xfId="10" xr:uid="{00000000-0005-0000-0000-000008000000}"/>
    <cellStyle name="Normal 3" xfId="9" xr:uid="{00000000-0005-0000-0000-000009000000}"/>
    <cellStyle name="Normal 4" xfId="12" xr:uid="{19497B9F-B362-4734-B610-75302F32D678}"/>
    <cellStyle name="Normal 5" xfId="15" xr:uid="{E22F5E35-119C-4059-A4E5-50EB21629991}"/>
    <cellStyle name="Normal 6" xfId="16" xr:uid="{7B3CFE56-69EB-4047-9D4F-E42D011DB4CA}"/>
    <cellStyle name="Normal 7" xfId="18" xr:uid="{C4B0E16D-3A64-4B79-B400-9382B592F8DD}"/>
    <cellStyle name="Normal 8" xfId="20" xr:uid="{D3CAC93C-3356-4588-BE41-206FE717CB6A}"/>
    <cellStyle name="Normal 8 2" xfId="22" xr:uid="{852C386C-0C59-4404-A794-760CEB2083C6}"/>
    <cellStyle name="Normal 9" xfId="24" xr:uid="{A9CD37AF-9414-4F5E-AC78-CAFDC9436643}"/>
    <cellStyle name="Normal_Loan stuff" xfId="8" xr:uid="{00000000-0005-0000-0000-00000A000000}"/>
    <cellStyle name="Percent" xfId="5" builtinId="5"/>
    <cellStyle name="Percent 2" xfId="13" xr:uid="{38677C17-A817-4DE1-8072-4A58B71C8692}"/>
    <cellStyle name="Percent 3" xfId="14" xr:uid="{6A75A200-8136-49F7-B468-296E5D948945}"/>
    <cellStyle name="Percent 4" xfId="17" xr:uid="{2914409A-B478-4D38-8DFA-AE0A616DE5BB}"/>
    <cellStyle name="Percent 5" xfId="19" xr:uid="{D99753E3-50E4-4F18-B271-31104775A208}"/>
    <cellStyle name="Percent 6" xfId="21" xr:uid="{D3C8D417-A68F-4521-A697-8CCB2BC6A802}"/>
    <cellStyle name="Percent 6 2" xfId="23" xr:uid="{80978F7A-D64F-442E-B933-4B8316C27322}"/>
    <cellStyle name="Percent 7" xfId="26" xr:uid="{D81C39C6-3C28-4193-A070-0177D380AC77}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  <color rgb="FF4F81BD"/>
      <color rgb="FFFFFFCC"/>
      <color rgb="FFC5D9F1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180772</xdr:colOff>
      <xdr:row>0</xdr:row>
      <xdr:rowOff>112700</xdr:rowOff>
    </xdr:from>
    <xdr:to>
      <xdr:col>1</xdr:col>
      <xdr:colOff>2359500</xdr:colOff>
      <xdr:row>4</xdr:row>
      <xdr:rowOff>114512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E81571-F8AD-42FC-90DD-B8AF06F9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72" y="112700"/>
          <a:ext cx="2170473" cy="717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72005</xdr:colOff>
      <xdr:row>0</xdr:row>
      <xdr:rowOff>101714</xdr:rowOff>
    </xdr:from>
    <xdr:to>
      <xdr:col>18</xdr:col>
      <xdr:colOff>55242</xdr:colOff>
      <xdr:row>2</xdr:row>
      <xdr:rowOff>30670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23436-B568-4D83-AF3C-DCA32BA1E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9652" y="101714"/>
          <a:ext cx="902119" cy="354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40482</xdr:colOff>
      <xdr:row>0</xdr:row>
      <xdr:rowOff>112395</xdr:rowOff>
    </xdr:from>
    <xdr:ext cx="850849" cy="359372"/>
    <xdr:pic>
      <xdr:nvPicPr>
        <xdr:cNvPr id="3" name="Picture 2">
          <a:extLst>
            <a:ext uri="{FF2B5EF4-FFF2-40B4-BE49-F238E27FC236}">
              <a16:creationId xmlns:a16="http://schemas.microsoft.com/office/drawing/2014/main" id="{B36C3A31-37AE-4083-AE02-96CCBDA74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982" y="112395"/>
          <a:ext cx="850849" cy="35937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2195830</xdr:colOff>
      <xdr:row>0</xdr:row>
      <xdr:rowOff>101600</xdr:rowOff>
    </xdr:from>
    <xdr:to>
      <xdr:col>6</xdr:col>
      <xdr:colOff>68211</xdr:colOff>
      <xdr:row>2</xdr:row>
      <xdr:rowOff>23774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E3A155-896D-4EAF-8462-74BEBBA8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3730" y="101600"/>
          <a:ext cx="933081" cy="334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2195830</xdr:colOff>
      <xdr:row>0</xdr:row>
      <xdr:rowOff>101600</xdr:rowOff>
    </xdr:from>
    <xdr:to>
      <xdr:col>6</xdr:col>
      <xdr:colOff>68211</xdr:colOff>
      <xdr:row>2</xdr:row>
      <xdr:rowOff>23774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D99342-0DD9-4F31-B2CC-AD8AC092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3730" y="101600"/>
          <a:ext cx="933081" cy="3349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maan Chaudhry" id="{B97F7D47-216C-49D0-A1E9-C44786B49830}" userId="Amaan Chaudhry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0" dT="2021-02-04T14:23:16.44" personId="{B97F7D47-216C-49D0-A1E9-C44786B49830}" id="{258D92CF-8828-41FA-AF16-E1AB9F68BE55}">
    <text>If "NO" duration input below does nothing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19" dT="2021-03-06T18:54:43.48" personId="{B97F7D47-216C-49D0-A1E9-C44786B49830}" id="{8095C3ED-5173-4AF0-8E71-388BC43F2994}">
    <text>https://www.revenue.pa.gov/GeneralTaxInformation/Tax%20Types%20and%20Information/RTT/Documents/clr_factor_historical.pdf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Z74"/>
  <sheetViews>
    <sheetView showGridLines="0" zoomScale="79" zoomScaleNormal="108" workbookViewId="0">
      <selection activeCell="O4" sqref="O4"/>
    </sheetView>
  </sheetViews>
  <sheetFormatPr defaultColWidth="9.28515625" defaultRowHeight="15" x14ac:dyDescent="0.25"/>
  <cols>
    <col min="1" max="1" width="2.28515625" style="1" customWidth="1"/>
    <col min="2" max="2" width="39.28515625" style="1" bestFit="1" customWidth="1"/>
    <col min="3" max="3" width="10.7109375" style="1" customWidth="1"/>
    <col min="4" max="4" width="4.28515625" style="1" customWidth="1"/>
    <col min="5" max="5" width="7.7109375" style="43" customWidth="1"/>
    <col min="6" max="6" width="15.28515625" style="43" customWidth="1"/>
    <col min="7" max="7" width="27.7109375" style="43" bestFit="1" customWidth="1"/>
    <col min="8" max="8" width="2.7109375" style="1" customWidth="1"/>
    <col min="9" max="9" width="17" style="1" customWidth="1"/>
    <col min="10" max="10" width="19.7109375" style="1" customWidth="1"/>
    <col min="11" max="11" width="19.7109375" style="116" bestFit="1" customWidth="1"/>
    <col min="12" max="12" width="22.28515625" style="43" customWidth="1"/>
    <col min="13" max="13" width="21.28515625" style="344" bestFit="1" customWidth="1"/>
    <col min="14" max="14" width="15.42578125" style="1" customWidth="1"/>
    <col min="15" max="15" width="32.7109375" style="1" bestFit="1" customWidth="1"/>
    <col min="16" max="16" width="15.140625" style="1" bestFit="1" customWidth="1"/>
    <col min="17" max="17" width="18.28515625" style="1" bestFit="1" customWidth="1"/>
    <col min="18" max="18" width="13.28515625" style="1" bestFit="1" customWidth="1"/>
    <col min="19" max="19" width="10.7109375" style="3" bestFit="1" customWidth="1"/>
    <col min="20" max="20" width="15.7109375" style="3" bestFit="1" customWidth="1"/>
    <col min="21" max="16384" width="9.28515625" style="3"/>
  </cols>
  <sheetData>
    <row r="1" spans="1:20" ht="12.75" x14ac:dyDescent="0.2">
      <c r="A1" s="3"/>
      <c r="B1" s="3"/>
      <c r="C1" s="3"/>
      <c r="D1" s="3"/>
      <c r="E1" s="4"/>
      <c r="F1" s="4"/>
      <c r="G1" s="4"/>
      <c r="H1" s="3"/>
      <c r="I1" s="3"/>
      <c r="J1" s="3"/>
      <c r="K1" s="5"/>
      <c r="L1" s="4"/>
      <c r="M1" s="3"/>
      <c r="N1" s="3"/>
      <c r="O1" s="6"/>
      <c r="P1" s="3"/>
      <c r="Q1" s="3"/>
      <c r="R1" s="3"/>
    </row>
    <row r="2" spans="1:20" x14ac:dyDescent="0.25">
      <c r="A2" s="3"/>
      <c r="B2" s="3"/>
      <c r="C2" s="3"/>
      <c r="D2" s="3"/>
      <c r="E2" s="4"/>
      <c r="F2" s="4"/>
      <c r="G2" s="4"/>
      <c r="H2" s="3"/>
      <c r="I2" s="3"/>
      <c r="J2" s="3"/>
      <c r="K2" s="5"/>
      <c r="N2" s="37" t="s">
        <v>156</v>
      </c>
      <c r="O2" s="452">
        <v>45260</v>
      </c>
      <c r="P2" s="3"/>
      <c r="Q2" s="3"/>
      <c r="R2" s="3"/>
    </row>
    <row r="3" spans="1:20" ht="12.75" x14ac:dyDescent="0.2">
      <c r="A3" s="3"/>
      <c r="B3" s="3"/>
      <c r="C3" s="3"/>
      <c r="D3" s="3"/>
      <c r="E3" s="4"/>
      <c r="F3" s="4"/>
      <c r="G3" s="4"/>
      <c r="H3" s="3"/>
      <c r="I3" s="3"/>
      <c r="J3" s="3"/>
      <c r="K3" s="5"/>
      <c r="L3" s="4"/>
      <c r="M3" s="3"/>
      <c r="N3" s="3"/>
      <c r="O3" s="3"/>
      <c r="P3" s="3"/>
      <c r="Q3" s="3"/>
      <c r="R3" s="3"/>
    </row>
    <row r="4" spans="1:20" x14ac:dyDescent="0.25">
      <c r="A4" s="3"/>
      <c r="B4" s="3"/>
      <c r="C4" s="3"/>
      <c r="D4" s="3"/>
      <c r="E4" s="4"/>
      <c r="F4" s="4"/>
      <c r="G4" s="4"/>
      <c r="H4" s="3"/>
      <c r="I4" s="3"/>
      <c r="J4" s="3"/>
      <c r="K4" s="5"/>
      <c r="L4" s="4"/>
      <c r="M4" s="3"/>
      <c r="N4" s="7" t="s">
        <v>130</v>
      </c>
      <c r="O4" s="451" t="s">
        <v>85</v>
      </c>
      <c r="P4" s="3"/>
      <c r="Q4" s="3"/>
      <c r="R4" s="3"/>
    </row>
    <row r="5" spans="1:20" x14ac:dyDescent="0.25">
      <c r="A5" s="3"/>
      <c r="B5" s="3"/>
      <c r="C5" s="3"/>
      <c r="D5" s="3"/>
      <c r="E5" s="4"/>
      <c r="F5" s="4"/>
      <c r="G5" s="4"/>
      <c r="H5" s="3"/>
      <c r="I5" s="3"/>
      <c r="J5" s="3"/>
      <c r="K5" s="5"/>
      <c r="L5" s="4"/>
      <c r="M5" s="3"/>
      <c r="N5" s="7" t="s">
        <v>88</v>
      </c>
      <c r="O5" s="451" t="s">
        <v>554</v>
      </c>
      <c r="P5" s="3"/>
      <c r="Q5" s="3"/>
      <c r="R5" s="3"/>
    </row>
    <row r="6" spans="1:20" x14ac:dyDescent="0.25">
      <c r="A6" s="3"/>
      <c r="B6" s="3"/>
      <c r="C6" s="3"/>
      <c r="D6" s="3"/>
      <c r="E6" s="4"/>
      <c r="F6" s="4"/>
      <c r="G6" s="4"/>
      <c r="H6" s="3"/>
      <c r="I6" s="3"/>
      <c r="J6" s="3"/>
      <c r="K6" s="5"/>
      <c r="L6" s="4"/>
      <c r="M6" s="3"/>
      <c r="N6" s="7" t="s">
        <v>89</v>
      </c>
      <c r="O6" s="451" t="s">
        <v>555</v>
      </c>
      <c r="P6" s="3"/>
      <c r="Q6" s="3"/>
      <c r="R6" s="3"/>
      <c r="T6" s="8"/>
    </row>
    <row r="7" spans="1:20" ht="21" x14ac:dyDescent="0.35">
      <c r="A7" s="3"/>
      <c r="B7" s="9" t="str">
        <f>O5&amp;" - "&amp;O7&amp;", "&amp;O8</f>
        <v>Valleyfield Apartments - Bridgeville, PA</v>
      </c>
      <c r="C7" s="10"/>
      <c r="D7" s="10"/>
      <c r="E7" s="10"/>
      <c r="F7" s="10"/>
      <c r="G7" s="10"/>
      <c r="H7" s="10"/>
      <c r="I7" s="10"/>
      <c r="J7" s="10"/>
      <c r="K7" s="10"/>
      <c r="L7" s="11"/>
      <c r="M7" s="3"/>
      <c r="N7" s="7" t="s">
        <v>81</v>
      </c>
      <c r="O7" s="451" t="s">
        <v>556</v>
      </c>
      <c r="P7" s="3"/>
      <c r="Q7" s="3"/>
      <c r="R7" s="3"/>
      <c r="T7" s="12"/>
    </row>
    <row r="8" spans="1:20" ht="15.75" x14ac:dyDescent="0.25">
      <c r="A8" s="3"/>
      <c r="B8" s="13" t="s">
        <v>85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3"/>
      <c r="N8" s="7" t="s">
        <v>90</v>
      </c>
      <c r="O8" s="451" t="s">
        <v>557</v>
      </c>
      <c r="P8" s="3"/>
      <c r="Q8" s="3"/>
      <c r="R8" s="3"/>
      <c r="T8" s="16"/>
    </row>
    <row r="9" spans="1:20" ht="15.75" x14ac:dyDescent="0.25">
      <c r="A9" s="3"/>
      <c r="B9" s="17" t="s">
        <v>164</v>
      </c>
      <c r="C9" s="18"/>
      <c r="D9" s="18"/>
      <c r="E9" s="18"/>
      <c r="F9" s="18"/>
      <c r="G9" s="18"/>
      <c r="H9" s="18"/>
      <c r="I9" s="18"/>
      <c r="J9" s="18"/>
      <c r="K9" s="18"/>
      <c r="L9" s="19"/>
      <c r="M9" s="3"/>
      <c r="N9" s="3"/>
      <c r="O9" s="3" t="s">
        <v>633</v>
      </c>
      <c r="P9" s="3"/>
      <c r="Q9" s="3"/>
      <c r="R9" s="3"/>
      <c r="T9" s="12"/>
    </row>
    <row r="10" spans="1:20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20" x14ac:dyDescent="0.25">
      <c r="B11" s="20" t="s">
        <v>22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345">
        <v>7</v>
      </c>
      <c r="N11" s="42" t="s">
        <v>37</v>
      </c>
    </row>
    <row r="12" spans="1:20" x14ac:dyDescent="0.25">
      <c r="B12" s="24" t="s">
        <v>23</v>
      </c>
      <c r="C12" s="25"/>
      <c r="D12" s="25"/>
      <c r="E12" s="25"/>
      <c r="F12" s="25"/>
      <c r="G12" s="25"/>
      <c r="H12" s="25"/>
      <c r="I12" s="25"/>
      <c r="J12" s="25"/>
      <c r="K12" s="26" t="str">
        <f>O6</f>
        <v>3520 Washington Pike</v>
      </c>
      <c r="L12" s="27"/>
      <c r="M12" s="1"/>
    </row>
    <row r="13" spans="1:20" x14ac:dyDescent="0.25">
      <c r="B13" s="28" t="s">
        <v>24</v>
      </c>
      <c r="E13" s="1"/>
      <c r="F13" s="1"/>
      <c r="G13" s="1"/>
      <c r="K13" s="29">
        <v>10.896000000000001</v>
      </c>
      <c r="L13" s="30"/>
      <c r="M13" s="1"/>
    </row>
    <row r="14" spans="1:20" x14ac:dyDescent="0.25">
      <c r="B14" s="28" t="s">
        <v>25</v>
      </c>
      <c r="E14" s="1"/>
      <c r="F14" s="1"/>
      <c r="G14" s="1"/>
      <c r="K14" s="31">
        <f>K13*43560</f>
        <v>474629.76</v>
      </c>
      <c r="L14" s="30"/>
      <c r="M14" s="1"/>
      <c r="N14" s="42"/>
    </row>
    <row r="15" spans="1:20" x14ac:dyDescent="0.25">
      <c r="B15" s="28" t="s">
        <v>28</v>
      </c>
      <c r="E15" s="1"/>
      <c r="F15" s="1"/>
      <c r="G15" s="1"/>
      <c r="K15" s="32" t="s">
        <v>188</v>
      </c>
      <c r="L15" s="30"/>
      <c r="M15" s="1"/>
    </row>
    <row r="16" spans="1:20" x14ac:dyDescent="0.25">
      <c r="B16" s="28" t="s">
        <v>26</v>
      </c>
      <c r="E16" s="1"/>
      <c r="F16" s="1"/>
      <c r="G16" s="1"/>
      <c r="K16" s="33" t="s">
        <v>189</v>
      </c>
      <c r="L16" s="30"/>
      <c r="M16" s="1"/>
    </row>
    <row r="17" spans="1:26" x14ac:dyDescent="0.25">
      <c r="B17" s="28" t="s">
        <v>27</v>
      </c>
      <c r="E17" s="1"/>
      <c r="F17" s="1"/>
      <c r="G17" s="1"/>
      <c r="K17" s="33" t="s">
        <v>188</v>
      </c>
      <c r="L17" s="30"/>
      <c r="M17" s="1"/>
    </row>
    <row r="18" spans="1:26" x14ac:dyDescent="0.25">
      <c r="B18" s="34" t="s">
        <v>57</v>
      </c>
      <c r="C18" s="35"/>
      <c r="D18" s="35"/>
      <c r="E18" s="35"/>
      <c r="F18" s="35"/>
      <c r="G18" s="35"/>
      <c r="H18" s="35"/>
      <c r="I18" s="35"/>
      <c r="J18" s="35"/>
      <c r="K18" s="326">
        <v>45292</v>
      </c>
      <c r="L18" s="36"/>
      <c r="M18" s="1"/>
    </row>
    <row r="19" spans="1:26" x14ac:dyDescent="0.25">
      <c r="E19" s="1"/>
      <c r="F19" s="1"/>
      <c r="G19" s="1"/>
      <c r="K19" s="1"/>
      <c r="L19" s="37"/>
      <c r="M19" s="1"/>
    </row>
    <row r="20" spans="1:26" s="23" customFormat="1" x14ac:dyDescent="0.25">
      <c r="A20" s="42"/>
      <c r="B20" s="20" t="s">
        <v>21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42"/>
      <c r="N20" s="42"/>
      <c r="O20" s="42"/>
      <c r="P20" s="42"/>
      <c r="Q20" s="42"/>
      <c r="R20" s="42"/>
    </row>
    <row r="21" spans="1:26" s="23" customFormat="1" x14ac:dyDescent="0.25">
      <c r="A21" s="42"/>
      <c r="B21" s="38" t="s">
        <v>130</v>
      </c>
      <c r="C21" s="39"/>
      <c r="D21" s="39"/>
      <c r="E21" s="39"/>
      <c r="F21" s="39"/>
      <c r="G21" s="39"/>
      <c r="H21" s="39"/>
      <c r="I21" s="39"/>
      <c r="J21" s="39"/>
      <c r="K21" s="40" t="str">
        <f>O4</f>
        <v xml:space="preserve">AM Group Multi-Family Residential </v>
      </c>
      <c r="L21" s="41"/>
      <c r="M21" s="42"/>
      <c r="N21" s="42"/>
      <c r="O21" s="42"/>
      <c r="P21" s="42"/>
      <c r="Q21" s="42"/>
      <c r="R21" s="42"/>
    </row>
    <row r="22" spans="1:26" s="23" customFormat="1" x14ac:dyDescent="0.25">
      <c r="A22" s="42"/>
      <c r="B22" s="28" t="s">
        <v>15</v>
      </c>
      <c r="C22" s="42"/>
      <c r="D22" s="42"/>
      <c r="E22" s="43"/>
      <c r="F22" s="43"/>
      <c r="G22" s="44"/>
      <c r="H22" s="37"/>
      <c r="I22" s="45"/>
      <c r="J22" s="37"/>
      <c r="K22" s="745">
        <f>SUM(K23:K26)</f>
        <v>48244</v>
      </c>
      <c r="L22" s="30"/>
      <c r="M22" s="42"/>
      <c r="N22" s="346"/>
      <c r="O22" s="42"/>
      <c r="P22" s="42"/>
      <c r="Q22" s="42"/>
      <c r="R22" s="42"/>
      <c r="X22" s="3"/>
      <c r="Y22" s="3"/>
      <c r="Z22" s="3"/>
    </row>
    <row r="23" spans="1:26" s="23" customFormat="1" x14ac:dyDescent="0.25">
      <c r="A23" s="42"/>
      <c r="B23" s="28" t="s">
        <v>111</v>
      </c>
      <c r="C23" s="42"/>
      <c r="D23" s="42"/>
      <c r="E23" s="43"/>
      <c r="F23" s="43"/>
      <c r="G23" s="44"/>
      <c r="H23" s="37"/>
      <c r="I23" s="45"/>
      <c r="J23" s="37"/>
      <c r="K23" s="744">
        <v>46944</v>
      </c>
      <c r="L23" s="46"/>
      <c r="M23" s="42"/>
      <c r="N23" s="346"/>
      <c r="O23" s="42"/>
      <c r="P23" s="42"/>
      <c r="Q23" s="42"/>
      <c r="R23" s="42"/>
      <c r="X23" s="3"/>
      <c r="Y23" s="3"/>
      <c r="Z23" s="3"/>
    </row>
    <row r="24" spans="1:26" s="23" customFormat="1" x14ac:dyDescent="0.25">
      <c r="A24" s="42"/>
      <c r="B24" s="28" t="s">
        <v>72</v>
      </c>
      <c r="C24" s="42"/>
      <c r="D24" s="42"/>
      <c r="E24" s="43"/>
      <c r="F24" s="43"/>
      <c r="G24" s="44"/>
      <c r="H24" s="37"/>
      <c r="I24" s="45"/>
      <c r="J24" s="37"/>
      <c r="K24" s="744">
        <v>1000</v>
      </c>
      <c r="L24" s="47"/>
      <c r="M24" s="42"/>
      <c r="N24" s="1"/>
      <c r="O24" s="42"/>
      <c r="P24" s="42"/>
      <c r="Q24" s="42"/>
      <c r="R24" s="42"/>
      <c r="X24" s="48"/>
      <c r="Y24" s="3"/>
      <c r="Z24" s="3"/>
    </row>
    <row r="25" spans="1:26" s="23" customFormat="1" x14ac:dyDescent="0.25">
      <c r="A25" s="42"/>
      <c r="B25" s="28" t="s">
        <v>73</v>
      </c>
      <c r="C25" s="42"/>
      <c r="D25" s="37"/>
      <c r="E25" s="42"/>
      <c r="F25" s="43"/>
      <c r="G25" s="43"/>
      <c r="H25" s="37"/>
      <c r="I25" s="42"/>
      <c r="J25" s="37"/>
      <c r="K25" s="327">
        <v>100</v>
      </c>
      <c r="L25" s="47"/>
      <c r="M25" s="42"/>
      <c r="N25" s="347"/>
      <c r="O25" s="348"/>
      <c r="P25" s="42"/>
      <c r="Q25" s="42"/>
      <c r="R25" s="42"/>
      <c r="X25" s="48"/>
      <c r="Y25" s="3"/>
      <c r="Z25" s="49"/>
    </row>
    <row r="26" spans="1:26" s="23" customFormat="1" x14ac:dyDescent="0.25">
      <c r="A26" s="42"/>
      <c r="B26" s="28" t="s">
        <v>77</v>
      </c>
      <c r="C26" s="42"/>
      <c r="D26" s="37"/>
      <c r="E26" s="42"/>
      <c r="F26" s="43"/>
      <c r="G26" s="43"/>
      <c r="H26" s="37"/>
      <c r="I26" s="52"/>
      <c r="J26" s="37"/>
      <c r="K26" s="327">
        <v>200</v>
      </c>
      <c r="L26" s="47"/>
      <c r="M26" s="346"/>
      <c r="N26" s="115"/>
      <c r="O26" s="42"/>
      <c r="P26" s="42"/>
      <c r="Q26" s="42"/>
      <c r="R26" s="42"/>
    </row>
    <row r="27" spans="1:26" s="23" customFormat="1" x14ac:dyDescent="0.25">
      <c r="A27" s="42"/>
      <c r="B27" s="746" t="s">
        <v>12</v>
      </c>
      <c r="C27" s="747"/>
      <c r="D27" s="748"/>
      <c r="E27" s="749"/>
      <c r="F27" s="749"/>
      <c r="G27" s="749"/>
      <c r="H27" s="748"/>
      <c r="I27" s="750"/>
      <c r="J27" s="748"/>
      <c r="K27" s="751">
        <f>K25+K23</f>
        <v>47044</v>
      </c>
      <c r="L27" s="752"/>
      <c r="M27" s="42"/>
      <c r="N27" s="115"/>
      <c r="O27" s="42"/>
      <c r="P27" s="42"/>
      <c r="Q27" s="42"/>
      <c r="R27" s="42"/>
    </row>
    <row r="28" spans="1:26" x14ac:dyDescent="0.25">
      <c r="C28" s="54"/>
      <c r="D28" s="54"/>
      <c r="E28" s="55"/>
      <c r="F28" s="55"/>
      <c r="K28" s="56"/>
      <c r="M28" s="1"/>
    </row>
    <row r="29" spans="1:26" x14ac:dyDescent="0.25">
      <c r="C29" s="2"/>
      <c r="I29" s="43"/>
      <c r="K29" s="57"/>
      <c r="L29" s="58"/>
      <c r="M29" s="1"/>
    </row>
    <row r="30" spans="1:26" x14ac:dyDescent="0.25">
      <c r="B30" s="20" t="s">
        <v>5</v>
      </c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1"/>
    </row>
    <row r="31" spans="1:26" x14ac:dyDescent="0.25">
      <c r="B31" s="59"/>
      <c r="C31" s="60"/>
      <c r="D31" s="61"/>
      <c r="E31" s="61"/>
      <c r="F31" s="61" t="s">
        <v>33</v>
      </c>
      <c r="G31" s="62" t="s">
        <v>34</v>
      </c>
      <c r="H31" s="25"/>
      <c r="I31" s="25"/>
      <c r="J31" s="25"/>
      <c r="K31" s="63"/>
      <c r="L31" s="64"/>
      <c r="M31" s="1"/>
    </row>
    <row r="32" spans="1:26" x14ac:dyDescent="0.25">
      <c r="B32" s="28" t="s">
        <v>70</v>
      </c>
      <c r="C32" s="65"/>
      <c r="D32" s="43"/>
      <c r="F32" s="54">
        <f>F46</f>
        <v>0.6</v>
      </c>
      <c r="G32" s="66">
        <f>K32/K34</f>
        <v>0.59820538384845456</v>
      </c>
      <c r="I32" s="65"/>
      <c r="J32" s="67"/>
      <c r="K32" s="359">
        <f>K46</f>
        <v>3682258.9151999997</v>
      </c>
      <c r="L32" s="68"/>
      <c r="M32" s="1"/>
      <c r="Q32" s="349"/>
      <c r="T32" s="69"/>
    </row>
    <row r="33" spans="2:20" x14ac:dyDescent="0.25">
      <c r="B33" s="28" t="s">
        <v>9</v>
      </c>
      <c r="C33" s="65"/>
      <c r="D33" s="43"/>
      <c r="F33" s="70">
        <f>1-F32</f>
        <v>0.4</v>
      </c>
      <c r="G33" s="71">
        <f>K33/K34</f>
        <v>0.40179461615154544</v>
      </c>
      <c r="I33" s="65"/>
      <c r="J33" s="67"/>
      <c r="K33" s="366">
        <f>K42-K32</f>
        <v>2473250.5713760005</v>
      </c>
      <c r="L33" s="68"/>
      <c r="M33" s="1"/>
      <c r="N33" s="346"/>
      <c r="Q33" s="346"/>
    </row>
    <row r="34" spans="2:20" x14ac:dyDescent="0.25">
      <c r="B34" s="683" t="s">
        <v>14</v>
      </c>
      <c r="C34" s="684"/>
      <c r="D34" s="685"/>
      <c r="E34" s="685"/>
      <c r="F34" s="685"/>
      <c r="G34" s="686">
        <f>SUM(G32:G33)</f>
        <v>1</v>
      </c>
      <c r="H34" s="684"/>
      <c r="I34" s="687"/>
      <c r="J34" s="684"/>
      <c r="K34" s="688">
        <f>SUM(K32:K33)</f>
        <v>6155509.4865760002</v>
      </c>
      <c r="L34" s="689"/>
      <c r="M34" s="350" t="str">
        <f>IF(ROUND(K34-K42,$M$11)=0,"OK","ERROR")</f>
        <v>OK</v>
      </c>
    </row>
    <row r="35" spans="2:20" x14ac:dyDescent="0.25">
      <c r="B35" s="42"/>
      <c r="D35" s="43"/>
      <c r="I35" s="65"/>
      <c r="K35" s="76" t="str">
        <f>IF(K34=K42,"","ERROR")</f>
        <v/>
      </c>
      <c r="L35" s="77"/>
    </row>
    <row r="36" spans="2:20" x14ac:dyDescent="0.25">
      <c r="B36" s="20" t="s">
        <v>4</v>
      </c>
      <c r="C36" s="21"/>
      <c r="D36" s="21"/>
      <c r="E36" s="21"/>
      <c r="F36" s="21"/>
      <c r="G36" s="21"/>
      <c r="H36" s="21"/>
      <c r="I36" s="21"/>
      <c r="J36" s="21"/>
      <c r="K36" s="21"/>
      <c r="L36" s="22"/>
    </row>
    <row r="37" spans="2:20" x14ac:dyDescent="0.25">
      <c r="B37" s="59"/>
      <c r="C37" s="60"/>
      <c r="D37" s="61"/>
      <c r="E37" s="61"/>
      <c r="F37" s="61"/>
      <c r="G37" s="61"/>
      <c r="H37" s="25"/>
      <c r="I37" s="25"/>
      <c r="J37" s="61"/>
      <c r="K37" s="63"/>
      <c r="L37" s="64"/>
      <c r="S37"/>
      <c r="T37"/>
    </row>
    <row r="38" spans="2:20" x14ac:dyDescent="0.25">
      <c r="B38" s="28" t="s">
        <v>6</v>
      </c>
      <c r="C38" s="65"/>
      <c r="D38" s="43"/>
      <c r="F38" s="351">
        <f>K38/K22</f>
        <v>124.71525854683139</v>
      </c>
      <c r="G38" s="78">
        <f>+K38/'Rent Roll'!$C$20</f>
        <v>77137.986324786325</v>
      </c>
      <c r="K38" s="742">
        <f>'Operating Statement'!G36/'Investment Assumption Summary'!F58</f>
        <v>6016762.9333333336</v>
      </c>
      <c r="L38" s="79"/>
      <c r="M38" s="1"/>
      <c r="S38"/>
      <c r="T38"/>
    </row>
    <row r="39" spans="2:20" x14ac:dyDescent="0.25">
      <c r="B39" s="28" t="s">
        <v>7</v>
      </c>
      <c r="C39" s="65"/>
      <c r="F39" s="352">
        <f>'Closing Cost Detail'!D25</f>
        <v>2.4943051709366277</v>
      </c>
      <c r="G39" s="78">
        <f>+K39/'Rent Roll'!$C$20</f>
        <v>1542.7597264957267</v>
      </c>
      <c r="K39" s="362">
        <f>'Closing Cost Detail'!D24</f>
        <v>120335.25866666668</v>
      </c>
      <c r="L39" s="68"/>
      <c r="M39" s="1"/>
      <c r="S39"/>
      <c r="T39"/>
    </row>
    <row r="40" spans="2:20" x14ac:dyDescent="0.25">
      <c r="B40" s="28" t="s">
        <v>113</v>
      </c>
      <c r="F40" s="352">
        <f>'Other Capitalized Costs'!D25</f>
        <v>0</v>
      </c>
      <c r="G40" s="78">
        <f>+K40/'Rent Roll'!$C$20</f>
        <v>0</v>
      </c>
      <c r="I40" s="80"/>
      <c r="K40" s="363">
        <f>'Other Capitalized Costs'!D24</f>
        <v>0</v>
      </c>
      <c r="L40" s="81"/>
      <c r="M40" s="1"/>
      <c r="S40"/>
      <c r="T40"/>
    </row>
    <row r="41" spans="2:20" x14ac:dyDescent="0.25">
      <c r="B41" s="50" t="s">
        <v>87</v>
      </c>
      <c r="C41" s="101"/>
      <c r="D41" s="53"/>
      <c r="E41" s="370"/>
      <c r="F41" s="353">
        <f>K41/K22</f>
        <v>0.38162869115330406</v>
      </c>
      <c r="G41" s="82">
        <f>+K41/'Rent Roll'!$C$20</f>
        <v>236.04223815384617</v>
      </c>
      <c r="H41" s="51"/>
      <c r="I41" s="51"/>
      <c r="J41" s="51"/>
      <c r="K41" s="364">
        <f>K52</f>
        <v>18411.294576</v>
      </c>
      <c r="L41" s="103"/>
      <c r="M41" s="1"/>
      <c r="Q41" s="346"/>
    </row>
    <row r="42" spans="2:20" x14ac:dyDescent="0.25">
      <c r="B42" s="84" t="s">
        <v>13</v>
      </c>
      <c r="C42" s="85"/>
      <c r="D42" s="86"/>
      <c r="E42" s="86"/>
      <c r="F42" s="453">
        <f>K42/K22</f>
        <v>127.59119240892132</v>
      </c>
      <c r="G42" s="454">
        <f>+K42/'Rent Roll'!$C$20</f>
        <v>78916.788289435906</v>
      </c>
      <c r="H42" s="85"/>
      <c r="I42" s="85"/>
      <c r="J42" s="85"/>
      <c r="K42" s="365">
        <f>SUM(K38:K41)</f>
        <v>6155509.4865760002</v>
      </c>
      <c r="L42" s="87"/>
      <c r="M42" s="1"/>
    </row>
    <row r="43" spans="2:20" x14ac:dyDescent="0.25">
      <c r="B43" s="42"/>
      <c r="C43" s="42"/>
      <c r="D43" s="42"/>
      <c r="K43" s="88"/>
    </row>
    <row r="44" spans="2:20" x14ac:dyDescent="0.25">
      <c r="B44" s="20" t="s">
        <v>30</v>
      </c>
      <c r="C44" s="21"/>
      <c r="D44" s="21"/>
      <c r="E44" s="21"/>
      <c r="F44" s="21"/>
      <c r="G44" s="21"/>
      <c r="H44" s="21"/>
      <c r="I44" s="21"/>
      <c r="J44" s="21"/>
      <c r="K44" s="21"/>
      <c r="L44" s="22"/>
    </row>
    <row r="45" spans="2:20" x14ac:dyDescent="0.25">
      <c r="B45" s="89"/>
      <c r="C45" s="90"/>
      <c r="D45" s="90"/>
      <c r="E45" s="90"/>
      <c r="F45" s="90"/>
      <c r="G45" s="90"/>
      <c r="H45" s="90"/>
      <c r="I45" s="90"/>
      <c r="J45" s="90"/>
      <c r="K45" s="91"/>
      <c r="L45" s="92"/>
    </row>
    <row r="46" spans="2:20" x14ac:dyDescent="0.25">
      <c r="B46" s="28" t="s">
        <v>155</v>
      </c>
      <c r="C46" s="65"/>
      <c r="D46" s="43"/>
      <c r="F46" s="93">
        <v>0.6</v>
      </c>
      <c r="I46" s="65"/>
      <c r="J46" s="67"/>
      <c r="K46" s="367">
        <f>F46*SUM(K38:K40)</f>
        <v>3682258.9151999997</v>
      </c>
      <c r="L46" s="94"/>
    </row>
    <row r="47" spans="2:20" x14ac:dyDescent="0.25">
      <c r="B47" s="95" t="s">
        <v>114</v>
      </c>
      <c r="C47" s="65"/>
      <c r="D47" s="43"/>
      <c r="F47" s="96">
        <v>10</v>
      </c>
      <c r="I47" s="65"/>
      <c r="J47" s="67"/>
      <c r="K47" s="72"/>
      <c r="L47" s="83"/>
    </row>
    <row r="48" spans="2:20" x14ac:dyDescent="0.25">
      <c r="B48" s="95" t="s">
        <v>42</v>
      </c>
      <c r="C48" s="65"/>
      <c r="D48" s="43"/>
      <c r="F48" s="96">
        <v>30</v>
      </c>
      <c r="I48" s="65"/>
      <c r="J48" s="67"/>
      <c r="K48" s="72"/>
      <c r="L48" s="83"/>
    </row>
    <row r="49" spans="2:17" x14ac:dyDescent="0.25">
      <c r="B49" s="95" t="s">
        <v>1</v>
      </c>
      <c r="C49" s="65"/>
      <c r="D49" s="43"/>
      <c r="F49" s="93">
        <v>6.5000000000000002E-2</v>
      </c>
      <c r="I49" s="65"/>
      <c r="J49" s="67"/>
      <c r="K49" s="97"/>
      <c r="L49" s="83"/>
    </row>
    <row r="50" spans="2:17" x14ac:dyDescent="0.25">
      <c r="B50" s="95" t="s">
        <v>116</v>
      </c>
      <c r="C50" s="65"/>
      <c r="D50" s="43"/>
      <c r="F50" s="328" t="s">
        <v>112</v>
      </c>
      <c r="I50" s="65"/>
      <c r="J50" s="67"/>
      <c r="K50" s="72"/>
      <c r="L50" s="83"/>
      <c r="M50" s="1"/>
    </row>
    <row r="51" spans="2:17" x14ac:dyDescent="0.25">
      <c r="B51" s="98" t="s">
        <v>117</v>
      </c>
      <c r="C51" s="65"/>
      <c r="D51" s="43"/>
      <c r="F51" s="329">
        <v>120</v>
      </c>
      <c r="I51" s="65"/>
      <c r="J51" s="67"/>
      <c r="K51" s="72"/>
      <c r="L51" s="83"/>
      <c r="M51" s="1"/>
    </row>
    <row r="52" spans="2:17" x14ac:dyDescent="0.25">
      <c r="B52" s="50" t="s">
        <v>31</v>
      </c>
      <c r="C52" s="99"/>
      <c r="D52" s="53"/>
      <c r="E52" s="53"/>
      <c r="F52" s="330">
        <v>5.0000000000000001E-3</v>
      </c>
      <c r="G52" s="100"/>
      <c r="H52" s="101"/>
      <c r="I52" s="99"/>
      <c r="J52" s="102"/>
      <c r="K52" s="369">
        <f>F52*K32</f>
        <v>18411.294576</v>
      </c>
      <c r="L52" s="103"/>
    </row>
    <row r="53" spans="2:17" x14ac:dyDescent="0.25">
      <c r="B53" s="690" t="s">
        <v>92</v>
      </c>
      <c r="C53" s="691"/>
      <c r="D53" s="692"/>
      <c r="E53" s="692"/>
      <c r="F53" s="693"/>
      <c r="G53" s="692"/>
      <c r="H53" s="694"/>
      <c r="I53" s="691"/>
      <c r="J53" s="695"/>
      <c r="K53" s="696">
        <f>K50+K52</f>
        <v>18411.294576</v>
      </c>
      <c r="L53" s="697"/>
    </row>
    <row r="54" spans="2:17" x14ac:dyDescent="0.25">
      <c r="B54" s="42"/>
      <c r="C54" s="65"/>
      <c r="D54" s="43"/>
      <c r="F54" s="105"/>
      <c r="I54" s="65"/>
      <c r="J54" s="67"/>
      <c r="K54" s="104"/>
      <c r="L54" s="104"/>
    </row>
    <row r="55" spans="2:17" x14ac:dyDescent="0.25">
      <c r="B55" s="20" t="s">
        <v>35</v>
      </c>
      <c r="C55" s="21"/>
      <c r="D55" s="21"/>
      <c r="E55" s="21"/>
      <c r="F55" s="21"/>
      <c r="G55" s="21"/>
      <c r="H55" s="21"/>
      <c r="I55" s="21"/>
      <c r="J55" s="21"/>
      <c r="K55" s="21"/>
      <c r="L55" s="22"/>
      <c r="Q55" s="354"/>
    </row>
    <row r="56" spans="2:17" x14ac:dyDescent="0.25">
      <c r="B56" s="106" t="s">
        <v>58</v>
      </c>
      <c r="C56" s="39"/>
      <c r="D56" s="39"/>
      <c r="E56" s="39"/>
      <c r="F56" s="107" t="s">
        <v>190</v>
      </c>
      <c r="G56" s="107" t="s">
        <v>365</v>
      </c>
      <c r="I56" s="107" t="s">
        <v>191</v>
      </c>
      <c r="J56" s="39"/>
      <c r="K56" s="63"/>
      <c r="L56" s="64"/>
      <c r="Q56" s="349"/>
    </row>
    <row r="57" spans="2:17" x14ac:dyDescent="0.25">
      <c r="B57" s="108" t="s">
        <v>366</v>
      </c>
      <c r="C57" s="90"/>
      <c r="D57" s="90"/>
      <c r="E57" s="90"/>
      <c r="F57" s="109">
        <f>'Operating Statement'!G36/'Investment Assumption Summary'!K38</f>
        <v>7.4999999999999997E-2</v>
      </c>
      <c r="G57" s="743">
        <f>'Operating Statement'!H36/'Investment Assumption Summary'!K38</f>
        <v>7.0999956911515588E-2</v>
      </c>
      <c r="H57" s="90"/>
      <c r="I57" s="109">
        <f>'Operating Statement'!I36/'Investment Assumption Summary'!K38</f>
        <v>8.3533541931907804E-2</v>
      </c>
      <c r="J57" s="90"/>
      <c r="K57" s="91"/>
      <c r="L57" s="92"/>
      <c r="Q57" s="349"/>
    </row>
    <row r="58" spans="2:17" x14ac:dyDescent="0.25">
      <c r="B58" s="108" t="s">
        <v>558</v>
      </c>
      <c r="C58" s="90"/>
      <c r="D58" s="90"/>
      <c r="E58" s="90"/>
      <c r="F58" s="109">
        <v>7.4999999999999997E-2</v>
      </c>
      <c r="G58" s="743"/>
      <c r="H58" s="90"/>
      <c r="I58" s="109"/>
      <c r="J58" s="90"/>
      <c r="K58" s="91"/>
      <c r="L58" s="92"/>
      <c r="Q58" s="349"/>
    </row>
    <row r="59" spans="2:17" x14ac:dyDescent="0.25">
      <c r="B59" s="28" t="s">
        <v>55</v>
      </c>
      <c r="F59" s="93">
        <v>0.08</v>
      </c>
      <c r="K59" s="110"/>
      <c r="L59" s="111"/>
      <c r="O59" s="355"/>
    </row>
    <row r="60" spans="2:17" x14ac:dyDescent="0.25">
      <c r="B60" s="59" t="s">
        <v>63</v>
      </c>
      <c r="C60" s="25"/>
      <c r="D60" s="25"/>
      <c r="E60" s="61"/>
      <c r="F60" s="724">
        <f>2021+F61</f>
        <v>2031</v>
      </c>
      <c r="G60" s="62"/>
      <c r="H60" s="25"/>
      <c r="I60" s="25"/>
      <c r="J60" s="112"/>
      <c r="K60" s="113"/>
      <c r="L60" s="114"/>
      <c r="N60" s="42"/>
      <c r="O60" s="356"/>
    </row>
    <row r="61" spans="2:17" x14ac:dyDescent="0.25">
      <c r="B61" s="28" t="s">
        <v>64</v>
      </c>
      <c r="F61" s="96">
        <v>10</v>
      </c>
      <c r="G61" s="115"/>
      <c r="J61" s="116"/>
      <c r="K61" s="117"/>
      <c r="L61" s="118"/>
      <c r="N61" s="42"/>
    </row>
    <row r="62" spans="2:17" x14ac:dyDescent="0.25">
      <c r="B62" s="28" t="s">
        <v>51</v>
      </c>
      <c r="F62" s="351">
        <f>K62/K22</f>
        <v>193.48755776494289</v>
      </c>
      <c r="G62" s="78">
        <f>K62/'Rent Roll'!$C$20</f>
        <v>119674.5350873321</v>
      </c>
      <c r="J62" s="116"/>
      <c r="K62" s="359">
        <f>INDEX('Operating Statement'!F7:R109,MATCH('Investment Assumption Summary'!B62,'Operating Statement'!B7:B109,0),MATCH('Investment Assumption Summary'!F61,'Operating Statement'!F5:R5,0))</f>
        <v>9334613.7368119042</v>
      </c>
      <c r="L62" s="68"/>
    </row>
    <row r="63" spans="2:17" x14ac:dyDescent="0.25">
      <c r="B63" s="28" t="s">
        <v>11</v>
      </c>
      <c r="F63" s="93">
        <v>5.5999999999999999E-3</v>
      </c>
      <c r="J63" s="116"/>
      <c r="K63" s="360">
        <f>-(K62*F63)</f>
        <v>-52273.836926146665</v>
      </c>
      <c r="L63" s="119"/>
    </row>
    <row r="64" spans="2:17" x14ac:dyDescent="0.25">
      <c r="B64" s="28" t="s">
        <v>7</v>
      </c>
      <c r="F64" s="93">
        <v>5.0000000000000001E-3</v>
      </c>
      <c r="K64" s="360">
        <f>-(K62*F64)</f>
        <v>-46673.068684059523</v>
      </c>
      <c r="L64" s="119"/>
    </row>
    <row r="65" spans="2:14" x14ac:dyDescent="0.25">
      <c r="B65" s="28" t="s">
        <v>36</v>
      </c>
      <c r="F65" s="93">
        <v>5.0000000000000001E-3</v>
      </c>
      <c r="K65" s="360">
        <f>-(K62*F65)</f>
        <v>-46673.068684059523</v>
      </c>
      <c r="L65" s="119"/>
      <c r="N65" s="42"/>
    </row>
    <row r="66" spans="2:14" ht="15.75" thickBot="1" x14ac:dyDescent="0.3">
      <c r="B66" s="28" t="s">
        <v>61</v>
      </c>
      <c r="K66" s="360">
        <f>INDEX('Operating Statement'!F7:R109,MATCH('Investment Assumption Summary'!B66,'Operating Statement'!B7:B109,0),MATCH('Investment Assumption Summary'!F61,'Operating Statement'!F5:R5,0))</f>
        <v>-3121676.4709633025</v>
      </c>
      <c r="L66" s="119"/>
    </row>
    <row r="67" spans="2:14" ht="15.75" thickTop="1" x14ac:dyDescent="0.25">
      <c r="B67" s="28" t="s">
        <v>62</v>
      </c>
      <c r="K67" s="368">
        <f>SUM(K62:K66)</f>
        <v>6067317.2915543336</v>
      </c>
      <c r="L67" s="357"/>
    </row>
    <row r="68" spans="2:14" x14ac:dyDescent="0.25">
      <c r="B68" s="120" t="s">
        <v>125</v>
      </c>
      <c r="K68" s="361">
        <f>INDEX('Operating Statement'!F7:R109,MATCH('Investment Assumption Summary'!B68,'Operating Statement'!B7:B109,0),MATCH('Investment Assumption Summary'!F61,'Operating Statement'!F5:R5,0))</f>
        <v>5215428.497480033</v>
      </c>
      <c r="L68" s="357"/>
      <c r="N68" s="346"/>
    </row>
    <row r="69" spans="2:14" x14ac:dyDescent="0.25">
      <c r="B69" s="371" t="s">
        <v>123</v>
      </c>
      <c r="C69" s="372"/>
      <c r="D69" s="372"/>
      <c r="E69" s="373"/>
      <c r="F69" s="373"/>
      <c r="G69" s="373"/>
      <c r="H69" s="372"/>
      <c r="I69" s="372"/>
      <c r="J69" s="372"/>
      <c r="K69" s="374" t="str">
        <f>TEXT(INDEX('Operating Statement'!F7:R109,MATCH("Unlevered IRR",'Operating Statement'!B7:B109,0),MATCH('Investment Assumption Summary'!F61,'Operating Statement'!F5:R5,0)),"0.0%")&amp;" / "&amp;TEXT(INDEX('Operating Statement'!F7:R109,MATCH("Unlevered Equity Multiple",'Operating Statement'!B7:B109,0),MATCH('Investment Assumption Summary'!F61,'Operating Statement'!F5:R5,0)),"0.00x")</f>
        <v>8.7% / 2.17x</v>
      </c>
      <c r="L69" s="375"/>
      <c r="N69" s="346"/>
    </row>
    <row r="70" spans="2:14" ht="17.25" x14ac:dyDescent="0.25">
      <c r="B70" s="73" t="s">
        <v>129</v>
      </c>
      <c r="C70" s="74"/>
      <c r="D70" s="74"/>
      <c r="E70" s="75"/>
      <c r="F70" s="75"/>
      <c r="G70" s="75"/>
      <c r="H70" s="74"/>
      <c r="I70" s="74"/>
      <c r="J70" s="74"/>
      <c r="K70" s="376" t="str">
        <f>TEXT(INDEX('Operating Statement'!F7:R109,MATCH("Levered IRR",'Operating Statement'!B7:B109,0),MATCH('Investment Assumption Summary'!F61,'Operating Statement'!F5:R5,0)),"0.0%")&amp;" / "&amp;TEXT(INDEX('Operating Statement'!F7:R109,MATCH("Equity Multiple",'Operating Statement'!B7:B109,0),MATCH('Investment Assumption Summary'!F61,'Operating Statement'!F5:R5,0)),"0.00x")</f>
        <v>11.3% / 3.11x</v>
      </c>
      <c r="L70" s="377"/>
      <c r="M70" s="822" t="str">
        <f>LEFT($K$70,4)</f>
        <v>11.3</v>
      </c>
    </row>
    <row r="73" spans="2:14" x14ac:dyDescent="0.25">
      <c r="B73" s="358"/>
    </row>
    <row r="74" spans="2:14" x14ac:dyDescent="0.25">
      <c r="B74" s="358"/>
    </row>
  </sheetData>
  <phoneticPr fontId="0" type="noConversion"/>
  <conditionalFormatting sqref="M34">
    <cfRule type="containsText" dxfId="5" priority="3" operator="containsText" text="ERROR">
      <formula>NOT(ISERROR(SEARCH("ERROR",M34)))</formula>
    </cfRule>
    <cfRule type="containsText" dxfId="4" priority="4" operator="containsText" text="OK">
      <formula>NOT(ISERROR(SEARCH("OK",M34)))</formula>
    </cfRule>
  </conditionalFormatting>
  <dataValidations count="2">
    <dataValidation type="list" allowBlank="1" showInputMessage="1" showErrorMessage="1" sqref="F50" xr:uid="{65EB84AC-7E0B-4AEE-8B62-06C7E22A1A10}">
      <formula1>"YES,NO"</formula1>
    </dataValidation>
    <dataValidation type="list" allowBlank="1" showInputMessage="1" showErrorMessage="1" sqref="O1" xr:uid="{47BA52FA-BB5B-40F0-A67E-F1A73C34B529}">
      <formula1>"1,0"</formula1>
    </dataValidation>
  </dataValidations>
  <pageMargins left="0.18" right="0.18" top="0.18" bottom="0.18" header="0.18" footer="0.18"/>
  <pageSetup scale="28" orientation="portrait" horizontalDpi="300" verticalDpi="300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FD169"/>
  <sheetViews>
    <sheetView showGridLines="0" tabSelected="1" zoomScale="85" zoomScaleNormal="85" workbookViewId="0">
      <selection activeCell="T7" sqref="T7"/>
    </sheetView>
  </sheetViews>
  <sheetFormatPr defaultColWidth="9.28515625" defaultRowHeight="12.75" x14ac:dyDescent="0.2"/>
  <cols>
    <col min="1" max="1" width="5.140625" style="153" bestFit="1" customWidth="1"/>
    <col min="2" max="2" width="10.7109375" customWidth="1"/>
    <col min="3" max="3" width="2.7109375" customWidth="1"/>
    <col min="4" max="4" width="12.7109375" customWidth="1"/>
    <col min="5" max="5" width="15.85546875" customWidth="1"/>
    <col min="6" max="6" width="13.42578125" customWidth="1"/>
    <col min="7" max="7" width="20" customWidth="1"/>
    <col min="8" max="10" width="13.7109375" customWidth="1"/>
    <col min="11" max="11" width="13.85546875" customWidth="1"/>
    <col min="12" max="18" width="13.7109375" customWidth="1"/>
    <col min="19" max="19" width="1.7109375" customWidth="1"/>
    <col min="20" max="20" width="31.7109375" bestFit="1" customWidth="1"/>
    <col min="21" max="21" width="15.7109375" customWidth="1"/>
    <col min="22" max="22" width="35.7109375" customWidth="1"/>
    <col min="23" max="24" width="15.7109375" customWidth="1"/>
    <col min="25" max="25" width="30" bestFit="1" customWidth="1"/>
    <col min="26" max="26" width="9.7109375" bestFit="1" customWidth="1"/>
    <col min="27" max="40" width="10.7109375" customWidth="1"/>
    <col min="41" max="41" width="11.7109375" bestFit="1" customWidth="1"/>
    <col min="42" max="158" width="10.7109375" customWidth="1"/>
  </cols>
  <sheetData>
    <row r="1" spans="1:160" s="3" customFormat="1" ht="15" x14ac:dyDescent="0.2">
      <c r="A1" s="320"/>
      <c r="B1" s="321"/>
      <c r="C1" s="321"/>
      <c r="D1" s="321"/>
      <c r="E1" s="321"/>
      <c r="F1" s="322"/>
      <c r="G1" s="322"/>
      <c r="H1" s="322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0"/>
    </row>
    <row r="2" spans="1:160" s="3" customFormat="1" ht="18.75" x14ac:dyDescent="0.2">
      <c r="A2" s="298" t="str">
        <f>'Investment Assumption Summary'!O5</f>
        <v>Valleyfield Apartments</v>
      </c>
      <c r="B2" s="321"/>
      <c r="C2" s="321"/>
      <c r="D2" s="321"/>
      <c r="E2" s="321"/>
      <c r="F2" s="322"/>
      <c r="G2" s="322"/>
      <c r="H2" s="322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0"/>
    </row>
    <row r="3" spans="1:160" s="153" customFormat="1" ht="18.75" x14ac:dyDescent="0.2">
      <c r="A3" s="301" t="s">
        <v>151</v>
      </c>
      <c r="B3" s="154"/>
      <c r="C3" s="155"/>
      <c r="D3" s="155"/>
      <c r="E3" s="155"/>
      <c r="F3" s="156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302" t="s">
        <v>135</v>
      </c>
      <c r="T3" s="157"/>
      <c r="Y3" s="158"/>
    </row>
    <row r="4" spans="1:160" s="153" customFormat="1" ht="15" x14ac:dyDescent="0.2">
      <c r="B4" s="191" t="s">
        <v>68</v>
      </c>
      <c r="C4" s="192"/>
      <c r="D4" s="192"/>
      <c r="E4" s="192"/>
      <c r="F4" s="193">
        <v>0</v>
      </c>
      <c r="G4" s="545"/>
      <c r="H4" s="566">
        <f>EOMONTH('Investment Assumption Summary'!K18,11)</f>
        <v>45657</v>
      </c>
      <c r="I4" s="566">
        <f t="shared" ref="I4:R4" si="0">EDATE(H4+1,12)-1</f>
        <v>46022</v>
      </c>
      <c r="J4" s="566">
        <f t="shared" si="0"/>
        <v>46387</v>
      </c>
      <c r="K4" s="566">
        <f t="shared" si="0"/>
        <v>46752</v>
      </c>
      <c r="L4" s="566">
        <f t="shared" si="0"/>
        <v>47118</v>
      </c>
      <c r="M4" s="566">
        <f t="shared" si="0"/>
        <v>47483</v>
      </c>
      <c r="N4" s="566">
        <f t="shared" si="0"/>
        <v>47848</v>
      </c>
      <c r="O4" s="566">
        <f t="shared" si="0"/>
        <v>48213</v>
      </c>
      <c r="P4" s="566">
        <f t="shared" si="0"/>
        <v>48579</v>
      </c>
      <c r="Q4" s="566">
        <f t="shared" si="0"/>
        <v>48944</v>
      </c>
      <c r="R4" s="566">
        <f t="shared" si="0"/>
        <v>49309</v>
      </c>
      <c r="T4" s="159"/>
      <c r="Y4" s="160"/>
      <c r="Z4" s="161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D4" s="163"/>
    </row>
    <row r="5" spans="1:160" s="153" customFormat="1" ht="15" x14ac:dyDescent="0.2">
      <c r="B5" s="179"/>
      <c r="C5" s="179"/>
      <c r="D5" s="179"/>
      <c r="E5" s="194"/>
      <c r="F5" s="195"/>
      <c r="G5" s="546" t="s">
        <v>178</v>
      </c>
      <c r="H5" s="196">
        <v>1</v>
      </c>
      <c r="I5" s="196">
        <v>2</v>
      </c>
      <c r="J5" s="196">
        <f t="shared" ref="J5:R5" si="1">I5+1</f>
        <v>3</v>
      </c>
      <c r="K5" s="196">
        <f t="shared" si="1"/>
        <v>4</v>
      </c>
      <c r="L5" s="196">
        <f t="shared" si="1"/>
        <v>5</v>
      </c>
      <c r="M5" s="196">
        <f t="shared" si="1"/>
        <v>6</v>
      </c>
      <c r="N5" s="196">
        <f t="shared" si="1"/>
        <v>7</v>
      </c>
      <c r="O5" s="196">
        <f t="shared" si="1"/>
        <v>8</v>
      </c>
      <c r="P5" s="196">
        <f t="shared" si="1"/>
        <v>9</v>
      </c>
      <c r="Q5" s="196">
        <f t="shared" si="1"/>
        <v>10</v>
      </c>
      <c r="R5" s="196">
        <f t="shared" si="1"/>
        <v>11</v>
      </c>
      <c r="T5" s="159"/>
      <c r="V5" s="164"/>
      <c r="Y5" s="160"/>
      <c r="Z5" s="165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D5" s="163"/>
    </row>
    <row r="6" spans="1:160" s="3" customFormat="1" ht="15" x14ac:dyDescent="0.2">
      <c r="A6" s="153"/>
      <c r="B6" s="333" t="s">
        <v>3</v>
      </c>
      <c r="C6" s="179"/>
      <c r="D6" s="179"/>
      <c r="E6" s="179"/>
      <c r="F6" s="195"/>
      <c r="G6" s="730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53"/>
    </row>
    <row r="7" spans="1:160" s="3" customFormat="1" ht="15" x14ac:dyDescent="0.2">
      <c r="A7" s="153"/>
      <c r="B7" s="179" t="s">
        <v>166</v>
      </c>
      <c r="C7" s="179"/>
      <c r="D7" s="179"/>
      <c r="E7" s="179"/>
      <c r="F7" s="195"/>
      <c r="G7" s="725">
        <f>'T12'!Q7</f>
        <v>863167.04</v>
      </c>
      <c r="H7" s="541">
        <f>'Rent Roll'!$I$20*(1+'Operating Statement'!H46)</f>
        <v>986971.1953852541</v>
      </c>
      <c r="I7" s="541">
        <f>H7*(1+'Operating Statement'!I46)</f>
        <v>1061150.3724013583</v>
      </c>
      <c r="J7" s="541">
        <f>I7*(1+'Operating Statement'!J46)</f>
        <v>1092984.8835741526</v>
      </c>
      <c r="K7" s="541">
        <f>J7*(1+'Operating Statement'!K46)</f>
        <v>1125774.4300821535</v>
      </c>
      <c r="L7" s="541">
        <f>K7*(1+'Operating Statement'!L46)</f>
        <v>1159547.6629854175</v>
      </c>
      <c r="M7" s="541">
        <f>L7*(1+'Operating Statement'!M46)</f>
        <v>1194334.0928758036</v>
      </c>
      <c r="N7" s="541">
        <f>M7*(1+'Operating Statement'!N46)</f>
        <v>1230164.1156629261</v>
      </c>
      <c r="O7" s="541">
        <f>N7*(1+'Operating Statement'!O46)</f>
        <v>1267069.0391336873</v>
      </c>
      <c r="P7" s="541">
        <f>O7*(1+'Operating Statement'!P46)</f>
        <v>1305081.1103085973</v>
      </c>
      <c r="Q7" s="541">
        <f>P7*(1+'Operating Statement'!Q46)</f>
        <v>1344233.5436187817</v>
      </c>
      <c r="R7" s="541">
        <f>Q7*(1+'Operating Statement'!R46)</f>
        <v>1384560.5499282998</v>
      </c>
      <c r="S7" s="153"/>
    </row>
    <row r="8" spans="1:160" s="3" customFormat="1" ht="15" x14ac:dyDescent="0.2">
      <c r="A8" s="153"/>
      <c r="B8" s="179" t="s">
        <v>167</v>
      </c>
      <c r="C8" s="179"/>
      <c r="D8" s="179"/>
      <c r="E8" s="179"/>
      <c r="F8" s="195"/>
      <c r="G8" s="726">
        <f>'T12'!Q8</f>
        <v>13952.679999999997</v>
      </c>
      <c r="H8" s="541">
        <f t="shared" ref="H8:S8" si="2">(H7-G7)*-H48</f>
        <v>-61902.077692627034</v>
      </c>
      <c r="I8" s="541">
        <f t="shared" si="2"/>
        <v>-37089.588508052111</v>
      </c>
      <c r="J8" s="541">
        <f t="shared" si="2"/>
        <v>-15917.255586397136</v>
      </c>
      <c r="K8" s="541">
        <f t="shared" si="2"/>
        <v>-16394.773254000465</v>
      </c>
      <c r="L8" s="541">
        <f t="shared" si="2"/>
        <v>-16886.616451631999</v>
      </c>
      <c r="M8" s="541">
        <f t="shared" si="2"/>
        <v>-17393.214945193031</v>
      </c>
      <c r="N8" s="541">
        <f t="shared" si="2"/>
        <v>-17915.011393561261</v>
      </c>
      <c r="O8" s="541">
        <f t="shared" si="2"/>
        <v>-18452.461735380581</v>
      </c>
      <c r="P8" s="541">
        <f t="shared" si="2"/>
        <v>-19006.03558745503</v>
      </c>
      <c r="Q8" s="541">
        <f t="shared" si="2"/>
        <v>-19576.216655092197</v>
      </c>
      <c r="R8" s="541">
        <f t="shared" si="2"/>
        <v>-20163.503154759062</v>
      </c>
      <c r="S8" s="541">
        <f t="shared" si="2"/>
        <v>692280.27496414992</v>
      </c>
    </row>
    <row r="9" spans="1:160" s="3" customFormat="1" ht="15" x14ac:dyDescent="0.2">
      <c r="A9" s="153"/>
      <c r="B9" s="536" t="s">
        <v>168</v>
      </c>
      <c r="C9" s="536"/>
      <c r="D9" s="536"/>
      <c r="E9" s="536"/>
      <c r="F9" s="537"/>
      <c r="G9" s="727">
        <f>G7+G8</f>
        <v>877119.72000000009</v>
      </c>
      <c r="H9" s="542">
        <f>H8+H7</f>
        <v>925069.11769262701</v>
      </c>
      <c r="I9" s="542">
        <f t="shared" ref="I9:R9" si="3">I8+I7</f>
        <v>1024060.7838933063</v>
      </c>
      <c r="J9" s="542">
        <f t="shared" si="3"/>
        <v>1077067.6279877555</v>
      </c>
      <c r="K9" s="542">
        <f t="shared" si="3"/>
        <v>1109379.6568281529</v>
      </c>
      <c r="L9" s="542">
        <f t="shared" si="3"/>
        <v>1142661.0465337855</v>
      </c>
      <c r="M9" s="542">
        <f t="shared" si="3"/>
        <v>1176940.8779306104</v>
      </c>
      <c r="N9" s="542">
        <f t="shared" si="3"/>
        <v>1212249.1042693648</v>
      </c>
      <c r="O9" s="542">
        <f t="shared" si="3"/>
        <v>1248616.5773983067</v>
      </c>
      <c r="P9" s="542">
        <f t="shared" si="3"/>
        <v>1286075.0747211422</v>
      </c>
      <c r="Q9" s="542">
        <f t="shared" si="3"/>
        <v>1324657.3269636896</v>
      </c>
      <c r="R9" s="542">
        <f t="shared" si="3"/>
        <v>1364397.0467735408</v>
      </c>
      <c r="S9" s="153"/>
    </row>
    <row r="10" spans="1:160" s="3" customFormat="1" ht="15" x14ac:dyDescent="0.2">
      <c r="A10" s="153"/>
      <c r="B10" s="567" t="str">
        <f>'T12'!C10</f>
        <v>Vacancy</v>
      </c>
      <c r="C10" s="179"/>
      <c r="D10" s="179"/>
      <c r="E10" s="179"/>
      <c r="F10" s="195"/>
      <c r="G10" s="726">
        <f>'T12'!Q10</f>
        <v>-22323.539999999997</v>
      </c>
      <c r="H10" s="543">
        <f t="shared" ref="H10" si="4">-H9*(H49+H50)</f>
        <v>-95669.541231459545</v>
      </c>
      <c r="I10" s="543">
        <f t="shared" ref="I10:R10" si="5">-I9*(I49+I50)</f>
        <v>-81837.336148738468</v>
      </c>
      <c r="J10" s="543">
        <f t="shared" si="5"/>
        <v>-53853.381399387777</v>
      </c>
      <c r="K10" s="543">
        <f t="shared" si="5"/>
        <v>-55468.982841407647</v>
      </c>
      <c r="L10" s="543">
        <f t="shared" si="5"/>
        <v>-57133.052326689278</v>
      </c>
      <c r="M10" s="543">
        <f t="shared" si="5"/>
        <v>-58847.043896530522</v>
      </c>
      <c r="N10" s="543">
        <f t="shared" si="5"/>
        <v>-60612.455213468245</v>
      </c>
      <c r="O10" s="543">
        <f t="shared" si="5"/>
        <v>-62430.828869915335</v>
      </c>
      <c r="P10" s="543">
        <f t="shared" si="5"/>
        <v>-64303.753736057115</v>
      </c>
      <c r="Q10" s="543">
        <f t="shared" si="5"/>
        <v>-66232.866348184485</v>
      </c>
      <c r="R10" s="543">
        <f t="shared" si="5"/>
        <v>-68219.852338677039</v>
      </c>
      <c r="S10" s="153"/>
    </row>
    <row r="11" spans="1:160" s="3" customFormat="1" ht="15" x14ac:dyDescent="0.2">
      <c r="A11" s="153"/>
      <c r="B11" s="567" t="str">
        <f>'T12'!C11</f>
        <v>Credit Loss</v>
      </c>
      <c r="C11" s="179"/>
      <c r="D11" s="179"/>
      <c r="E11" s="179"/>
      <c r="F11" s="195"/>
      <c r="G11" s="726">
        <f>'T12'!Q11</f>
        <v>-15617.659999999998</v>
      </c>
      <c r="H11" s="543">
        <f t="shared" ref="H11:R11" si="6">-H9*H51</f>
        <v>-4625.3455884631348</v>
      </c>
      <c r="I11" s="543">
        <f t="shared" si="6"/>
        <v>-5120.3039194665316</v>
      </c>
      <c r="J11" s="543">
        <f t="shared" si="6"/>
        <v>-5385.3381399387772</v>
      </c>
      <c r="K11" s="543">
        <f t="shared" si="6"/>
        <v>-5546.8982841407651</v>
      </c>
      <c r="L11" s="543">
        <f t="shared" si="6"/>
        <v>-5713.3052326689276</v>
      </c>
      <c r="M11" s="543">
        <f t="shared" si="6"/>
        <v>-5884.7043896530522</v>
      </c>
      <c r="N11" s="543">
        <f t="shared" si="6"/>
        <v>-6061.2455213468247</v>
      </c>
      <c r="O11" s="543">
        <f t="shared" si="6"/>
        <v>-6243.082886991534</v>
      </c>
      <c r="P11" s="543">
        <f t="shared" si="6"/>
        <v>-6430.3753736057115</v>
      </c>
      <c r="Q11" s="543">
        <f t="shared" si="6"/>
        <v>-6623.286634818448</v>
      </c>
      <c r="R11" s="543">
        <f t="shared" si="6"/>
        <v>-6821.9852338677038</v>
      </c>
      <c r="S11" s="153"/>
    </row>
    <row r="12" spans="1:160" s="3" customFormat="1" ht="15" x14ac:dyDescent="0.2">
      <c r="A12" s="153"/>
      <c r="B12" s="567" t="str">
        <f>'T12'!C12</f>
        <v>Model</v>
      </c>
      <c r="C12" s="179"/>
      <c r="D12" s="179"/>
      <c r="E12" s="179"/>
      <c r="F12" s="195"/>
      <c r="G12" s="726">
        <f>'T12'!Q12</f>
        <v>-8280</v>
      </c>
      <c r="H12" s="543">
        <f>-H9*H52</f>
        <v>-8325.6220592336431</v>
      </c>
      <c r="I12" s="543">
        <f t="shared" ref="I12:R12" si="7">-I9*I52</f>
        <v>-9216.5470550397549</v>
      </c>
      <c r="J12" s="543">
        <f t="shared" si="7"/>
        <v>-9693.6086518897991</v>
      </c>
      <c r="K12" s="543">
        <f t="shared" si="7"/>
        <v>-9984.4169114533761</v>
      </c>
      <c r="L12" s="543">
        <f t="shared" si="7"/>
        <v>-10283.94941880407</v>
      </c>
      <c r="M12" s="543">
        <f t="shared" si="7"/>
        <v>-10592.467901375494</v>
      </c>
      <c r="N12" s="543">
        <f t="shared" si="7"/>
        <v>-10910.241938424282</v>
      </c>
      <c r="O12" s="543">
        <f t="shared" si="7"/>
        <v>-11237.54919658476</v>
      </c>
      <c r="P12" s="543">
        <f t="shared" si="7"/>
        <v>-11574.675672490279</v>
      </c>
      <c r="Q12" s="543">
        <f t="shared" si="7"/>
        <v>-11921.915942673206</v>
      </c>
      <c r="R12" s="543">
        <f t="shared" si="7"/>
        <v>-12279.573420961866</v>
      </c>
      <c r="S12" s="153"/>
    </row>
    <row r="13" spans="1:160" s="3" customFormat="1" ht="15" x14ac:dyDescent="0.2">
      <c r="A13" s="153"/>
      <c r="B13" s="567" t="str">
        <f>'T12'!C13</f>
        <v>Concessions</v>
      </c>
      <c r="C13" s="179"/>
      <c r="D13" s="179"/>
      <c r="E13" s="179"/>
      <c r="F13" s="195"/>
      <c r="G13" s="726">
        <f>'T12'!Q13</f>
        <v>0</v>
      </c>
      <c r="H13" s="543">
        <f t="shared" ref="H13:S13" si="8">-H9*H53</f>
        <v>0</v>
      </c>
      <c r="I13" s="543">
        <f t="shared" si="8"/>
        <v>0</v>
      </c>
      <c r="J13" s="543">
        <f t="shared" si="8"/>
        <v>0</v>
      </c>
      <c r="K13" s="543">
        <f t="shared" si="8"/>
        <v>0</v>
      </c>
      <c r="L13" s="543">
        <f t="shared" si="8"/>
        <v>0</v>
      </c>
      <c r="M13" s="543">
        <f t="shared" si="8"/>
        <v>0</v>
      </c>
      <c r="N13" s="543">
        <f t="shared" si="8"/>
        <v>0</v>
      </c>
      <c r="O13" s="543">
        <f t="shared" si="8"/>
        <v>0</v>
      </c>
      <c r="P13" s="543">
        <f t="shared" si="8"/>
        <v>0</v>
      </c>
      <c r="Q13" s="543">
        <f t="shared" si="8"/>
        <v>0</v>
      </c>
      <c r="R13" s="543">
        <f t="shared" si="8"/>
        <v>0</v>
      </c>
      <c r="S13" s="199">
        <f t="shared" si="8"/>
        <v>0</v>
      </c>
    </row>
    <row r="14" spans="1:160" s="3" customFormat="1" ht="15" x14ac:dyDescent="0.2">
      <c r="A14" s="153"/>
      <c r="B14" s="538" t="s">
        <v>173</v>
      </c>
      <c r="C14" s="536"/>
      <c r="D14" s="536"/>
      <c r="E14" s="536"/>
      <c r="F14" s="537"/>
      <c r="G14" s="727">
        <f>SUM(G9:G13)</f>
        <v>830898.52</v>
      </c>
      <c r="H14" s="542">
        <f>SUM(H9:H13)</f>
        <v>816448.6088134707</v>
      </c>
      <c r="I14" s="542">
        <f t="shared" ref="I14:R14" si="9">SUM(I9:I13)</f>
        <v>927886.59677006141</v>
      </c>
      <c r="J14" s="542">
        <f t="shared" si="9"/>
        <v>1008135.2997965391</v>
      </c>
      <c r="K14" s="542">
        <f t="shared" si="9"/>
        <v>1038379.3587911512</v>
      </c>
      <c r="L14" s="542">
        <f t="shared" si="9"/>
        <v>1069530.7395556231</v>
      </c>
      <c r="M14" s="542">
        <f t="shared" si="9"/>
        <v>1101616.6617430514</v>
      </c>
      <c r="N14" s="542">
        <f t="shared" si="9"/>
        <v>1134665.1615961255</v>
      </c>
      <c r="O14" s="542">
        <f t="shared" si="9"/>
        <v>1168705.116444815</v>
      </c>
      <c r="P14" s="542">
        <f t="shared" si="9"/>
        <v>1203766.2699389891</v>
      </c>
      <c r="Q14" s="542">
        <f t="shared" si="9"/>
        <v>1239879.2580380137</v>
      </c>
      <c r="R14" s="542">
        <f t="shared" si="9"/>
        <v>1277075.6357800341</v>
      </c>
      <c r="S14" s="153"/>
    </row>
    <row r="15" spans="1:160" s="3" customFormat="1" ht="15" x14ac:dyDescent="0.2">
      <c r="A15" s="153"/>
      <c r="B15" s="179" t="s">
        <v>99</v>
      </c>
      <c r="C15" s="179"/>
      <c r="D15" s="179"/>
      <c r="E15" s="179"/>
      <c r="F15" s="195"/>
      <c r="G15" s="728">
        <f>'Rent Roll'!E40</f>
        <v>119713.36</v>
      </c>
      <c r="H15" s="543">
        <f>($G$15)*(1+H47)</f>
        <v>123304.7608</v>
      </c>
      <c r="I15" s="543">
        <f>H$15*(1+I47)</f>
        <v>127003.90362400001</v>
      </c>
      <c r="J15" s="543">
        <f t="shared" ref="J15:R15" si="10">I$15*(1+J47)</f>
        <v>130814.02073272002</v>
      </c>
      <c r="K15" s="543">
        <f t="shared" si="10"/>
        <v>134738.44135470162</v>
      </c>
      <c r="L15" s="543">
        <f t="shared" si="10"/>
        <v>138780.59459534267</v>
      </c>
      <c r="M15" s="543">
        <f t="shared" si="10"/>
        <v>142944.01243320297</v>
      </c>
      <c r="N15" s="543">
        <f t="shared" si="10"/>
        <v>147232.33280619906</v>
      </c>
      <c r="O15" s="543">
        <f t="shared" si="10"/>
        <v>151649.30279038503</v>
      </c>
      <c r="P15" s="543">
        <f t="shared" si="10"/>
        <v>156198.78187409657</v>
      </c>
      <c r="Q15" s="543">
        <f t="shared" si="10"/>
        <v>160884.74533031948</v>
      </c>
      <c r="R15" s="543">
        <f t="shared" si="10"/>
        <v>165711.28769022907</v>
      </c>
      <c r="S15" s="153"/>
    </row>
    <row r="16" spans="1:160" s="3" customFormat="1" ht="15" x14ac:dyDescent="0.2">
      <c r="A16" s="153"/>
      <c r="B16" s="539" t="s">
        <v>76</v>
      </c>
      <c r="C16" s="539"/>
      <c r="D16" s="539"/>
      <c r="E16" s="539"/>
      <c r="F16" s="540"/>
      <c r="G16" s="729">
        <f>SUM(G14:G15)</f>
        <v>950611.88</v>
      </c>
      <c r="H16" s="544">
        <f>SUM(H14:H15)</f>
        <v>939753.36961347074</v>
      </c>
      <c r="I16" s="544">
        <f t="shared" ref="I16:R16" si="11">SUM(I14:I15)</f>
        <v>1054890.5003940614</v>
      </c>
      <c r="J16" s="544">
        <f t="shared" si="11"/>
        <v>1138949.320529259</v>
      </c>
      <c r="K16" s="544">
        <f t="shared" si="11"/>
        <v>1173117.8001458528</v>
      </c>
      <c r="L16" s="544">
        <f t="shared" si="11"/>
        <v>1208311.3341509658</v>
      </c>
      <c r="M16" s="544">
        <f t="shared" si="11"/>
        <v>1244560.6741762543</v>
      </c>
      <c r="N16" s="544">
        <f t="shared" si="11"/>
        <v>1281897.4944023245</v>
      </c>
      <c r="O16" s="544">
        <f t="shared" si="11"/>
        <v>1320354.4192351999</v>
      </c>
      <c r="P16" s="544">
        <f t="shared" si="11"/>
        <v>1359965.0518130856</v>
      </c>
      <c r="Q16" s="544">
        <f t="shared" si="11"/>
        <v>1400764.0033683332</v>
      </c>
      <c r="R16" s="544">
        <f t="shared" si="11"/>
        <v>1442786.9234702631</v>
      </c>
      <c r="S16" s="153"/>
    </row>
    <row r="17" spans="1:160" s="3" customFormat="1" ht="15" x14ac:dyDescent="0.2">
      <c r="A17" s="153"/>
      <c r="B17" s="179"/>
      <c r="C17" s="179"/>
      <c r="D17" s="179"/>
      <c r="E17" s="179"/>
      <c r="F17" s="195"/>
      <c r="G17" s="548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153"/>
    </row>
    <row r="18" spans="1:160" s="3" customFormat="1" ht="15" x14ac:dyDescent="0.2">
      <c r="A18" s="160"/>
      <c r="B18" s="333" t="s">
        <v>0</v>
      </c>
      <c r="C18" s="202"/>
      <c r="D18" s="202"/>
      <c r="E18" s="202"/>
      <c r="F18" s="179"/>
      <c r="G18" s="549" t="s">
        <v>179</v>
      </c>
      <c r="H18" s="203"/>
      <c r="I18" s="204"/>
      <c r="J18" s="205"/>
      <c r="K18" s="206"/>
      <c r="L18" s="207"/>
      <c r="M18" s="207"/>
      <c r="N18" s="207"/>
      <c r="O18" s="207"/>
      <c r="P18" s="207"/>
      <c r="Q18" s="207"/>
      <c r="R18" s="207"/>
      <c r="S18" s="167"/>
    </row>
    <row r="19" spans="1:160" s="3" customFormat="1" ht="15" x14ac:dyDescent="0.2">
      <c r="A19" s="153"/>
      <c r="B19" s="208" t="str">
        <f>'T12'!C29</f>
        <v>Payroll</v>
      </c>
      <c r="C19" s="209"/>
      <c r="D19" s="209"/>
      <c r="E19" s="209"/>
      <c r="F19" s="210"/>
      <c r="G19" s="547">
        <f>'T12'!Q29</f>
        <v>119172.93999999999</v>
      </c>
      <c r="H19" s="198">
        <f t="shared" ref="H19:R19" si="12">G19*(1+H$54)</f>
        <v>122748.12819999999</v>
      </c>
      <c r="I19" s="198">
        <f t="shared" si="12"/>
        <v>126430.572046</v>
      </c>
      <c r="J19" s="198">
        <f t="shared" si="12"/>
        <v>130223.48920738</v>
      </c>
      <c r="K19" s="198">
        <f t="shared" si="12"/>
        <v>134130.1938836014</v>
      </c>
      <c r="L19" s="198">
        <f t="shared" si="12"/>
        <v>138154.09970010945</v>
      </c>
      <c r="M19" s="198">
        <f t="shared" si="12"/>
        <v>142298.72269111275</v>
      </c>
      <c r="N19" s="198">
        <f t="shared" si="12"/>
        <v>146567.68437184615</v>
      </c>
      <c r="O19" s="198">
        <f t="shared" si="12"/>
        <v>150964.71490300153</v>
      </c>
      <c r="P19" s="198">
        <f t="shared" si="12"/>
        <v>155493.65635009157</v>
      </c>
      <c r="Q19" s="198">
        <f t="shared" si="12"/>
        <v>160158.46604059433</v>
      </c>
      <c r="R19" s="198">
        <f t="shared" si="12"/>
        <v>164963.22002181216</v>
      </c>
      <c r="S19" s="168"/>
      <c r="T19" s="12"/>
    </row>
    <row r="20" spans="1:160" s="3" customFormat="1" ht="15" x14ac:dyDescent="0.2">
      <c r="A20" s="153"/>
      <c r="B20" s="208" t="str">
        <f>'T12'!C30</f>
        <v>Marketing</v>
      </c>
      <c r="C20" s="209"/>
      <c r="D20" s="209"/>
      <c r="E20" s="209"/>
      <c r="F20" s="210"/>
      <c r="G20" s="547">
        <f>'T12'!Q30</f>
        <v>11276.880000000001</v>
      </c>
      <c r="H20" s="565">
        <f t="shared" ref="H20:R20" si="13">G20*(1+H$54)</f>
        <v>11615.186400000001</v>
      </c>
      <c r="I20" s="565">
        <f t="shared" si="13"/>
        <v>11963.641992000001</v>
      </c>
      <c r="J20" s="565">
        <f t="shared" si="13"/>
        <v>12322.551251760002</v>
      </c>
      <c r="K20" s="565">
        <f t="shared" si="13"/>
        <v>12692.227789312803</v>
      </c>
      <c r="L20" s="565">
        <f t="shared" si="13"/>
        <v>13072.994622992188</v>
      </c>
      <c r="M20" s="565">
        <f t="shared" si="13"/>
        <v>13465.184461681954</v>
      </c>
      <c r="N20" s="565">
        <f t="shared" si="13"/>
        <v>13869.139995532414</v>
      </c>
      <c r="O20" s="565">
        <f t="shared" si="13"/>
        <v>14285.214195398386</v>
      </c>
      <c r="P20" s="565">
        <f t="shared" si="13"/>
        <v>14713.770621260339</v>
      </c>
      <c r="Q20" s="565">
        <f t="shared" si="13"/>
        <v>15155.18373989815</v>
      </c>
      <c r="R20" s="565">
        <f t="shared" si="13"/>
        <v>15609.839252095095</v>
      </c>
      <c r="S20" s="168"/>
      <c r="T20" s="12"/>
    </row>
    <row r="21" spans="1:160" s="3" customFormat="1" ht="15" x14ac:dyDescent="0.2">
      <c r="A21" s="153"/>
      <c r="B21" s="208" t="str">
        <f>'T12'!C31</f>
        <v>General &amp; Administrative</v>
      </c>
      <c r="C21" s="209"/>
      <c r="D21" s="209"/>
      <c r="E21" s="209"/>
      <c r="F21" s="210"/>
      <c r="G21" s="547">
        <f>'T12'!Q31</f>
        <v>16804.87</v>
      </c>
      <c r="H21" s="565">
        <f t="shared" ref="H21:R21" si="14">G21*(1+H$54)</f>
        <v>17309.016100000001</v>
      </c>
      <c r="I21" s="565">
        <f t="shared" si="14"/>
        <v>17828.286583000001</v>
      </c>
      <c r="J21" s="565">
        <f t="shared" si="14"/>
        <v>18363.13518049</v>
      </c>
      <c r="K21" s="565">
        <f t="shared" si="14"/>
        <v>18914.029235904702</v>
      </c>
      <c r="L21" s="565">
        <f t="shared" si="14"/>
        <v>19481.450112981842</v>
      </c>
      <c r="M21" s="565">
        <f t="shared" si="14"/>
        <v>20065.893616371297</v>
      </c>
      <c r="N21" s="565">
        <f t="shared" si="14"/>
        <v>20667.870424862438</v>
      </c>
      <c r="O21" s="565">
        <f t="shared" si="14"/>
        <v>21287.906537608313</v>
      </c>
      <c r="P21" s="565">
        <f t="shared" si="14"/>
        <v>21926.543733736562</v>
      </c>
      <c r="Q21" s="565">
        <f t="shared" si="14"/>
        <v>22584.34004574866</v>
      </c>
      <c r="R21" s="565">
        <f t="shared" si="14"/>
        <v>23261.870247121122</v>
      </c>
      <c r="S21" s="168"/>
      <c r="T21" s="12"/>
    </row>
    <row r="22" spans="1:160" s="3" customFormat="1" ht="15" x14ac:dyDescent="0.2">
      <c r="A22" s="153"/>
      <c r="B22" s="208" t="str">
        <f>'T12'!C32</f>
        <v>Management Fee</v>
      </c>
      <c r="C22" s="209"/>
      <c r="D22" s="209"/>
      <c r="E22" s="209"/>
      <c r="F22" s="210"/>
      <c r="G22" s="547">
        <f>'T12'!Q32</f>
        <v>48685.159999999996</v>
      </c>
      <c r="H22" s="565">
        <f t="shared" ref="H22:R22" si="15">G22*(1+H$54)</f>
        <v>50145.714799999994</v>
      </c>
      <c r="I22" s="565">
        <f t="shared" si="15"/>
        <v>51650.086243999998</v>
      </c>
      <c r="J22" s="565">
        <f t="shared" si="15"/>
        <v>53199.588831319998</v>
      </c>
      <c r="K22" s="565">
        <f t="shared" si="15"/>
        <v>54795.5764962596</v>
      </c>
      <c r="L22" s="565">
        <f t="shared" si="15"/>
        <v>56439.443791147387</v>
      </c>
      <c r="M22" s="565">
        <f t="shared" si="15"/>
        <v>58132.627104881809</v>
      </c>
      <c r="N22" s="565">
        <f t="shared" si="15"/>
        <v>59876.605918028268</v>
      </c>
      <c r="O22" s="565">
        <f t="shared" si="15"/>
        <v>61672.904095569116</v>
      </c>
      <c r="P22" s="565">
        <f t="shared" si="15"/>
        <v>63523.091218436188</v>
      </c>
      <c r="Q22" s="565">
        <f t="shared" si="15"/>
        <v>65428.783954989274</v>
      </c>
      <c r="R22" s="565">
        <f t="shared" si="15"/>
        <v>67391.64747363895</v>
      </c>
      <c r="S22" s="168"/>
      <c r="T22" s="12"/>
    </row>
    <row r="23" spans="1:160" s="3" customFormat="1" ht="15" x14ac:dyDescent="0.2">
      <c r="A23" s="153"/>
      <c r="B23" s="208" t="str">
        <f>'T12'!C33</f>
        <v>Landscaping / Grounds</v>
      </c>
      <c r="C23" s="209"/>
      <c r="D23" s="209"/>
      <c r="E23" s="211"/>
      <c r="F23" s="210"/>
      <c r="G23" s="547">
        <f>'T12'!Q33</f>
        <v>42085.65</v>
      </c>
      <c r="H23" s="565">
        <f t="shared" ref="H23:R23" si="16">G23*(1+H$54)</f>
        <v>43348.219499999999</v>
      </c>
      <c r="I23" s="565">
        <f t="shared" si="16"/>
        <v>44648.666084999997</v>
      </c>
      <c r="J23" s="565">
        <f t="shared" si="16"/>
        <v>45988.126067550002</v>
      </c>
      <c r="K23" s="565">
        <f t="shared" si="16"/>
        <v>47367.7698495765</v>
      </c>
      <c r="L23" s="565">
        <f t="shared" si="16"/>
        <v>48788.802945063799</v>
      </c>
      <c r="M23" s="565">
        <f t="shared" si="16"/>
        <v>50252.467033415713</v>
      </c>
      <c r="N23" s="565">
        <f t="shared" si="16"/>
        <v>51760.041044418183</v>
      </c>
      <c r="O23" s="565">
        <f t="shared" si="16"/>
        <v>53312.842275750729</v>
      </c>
      <c r="P23" s="565">
        <f t="shared" si="16"/>
        <v>54912.227544023255</v>
      </c>
      <c r="Q23" s="565">
        <f t="shared" si="16"/>
        <v>56559.594370343955</v>
      </c>
      <c r="R23" s="565">
        <f t="shared" si="16"/>
        <v>58256.382201454275</v>
      </c>
      <c r="S23" s="168"/>
      <c r="T23" s="12"/>
    </row>
    <row r="24" spans="1:160" s="3" customFormat="1" ht="15" x14ac:dyDescent="0.2">
      <c r="A24" s="153"/>
      <c r="B24" s="208" t="str">
        <f>'T12'!C34</f>
        <v>Make-ready / Cleaning</v>
      </c>
      <c r="C24" s="209"/>
      <c r="D24" s="209"/>
      <c r="E24" s="209"/>
      <c r="F24" s="210"/>
      <c r="G24" s="547">
        <f>'T12'!Q34</f>
        <v>5867.0700000000006</v>
      </c>
      <c r="H24" s="565">
        <f t="shared" ref="H24:R26" si="17">G24*(1+H$54)</f>
        <v>6043.0821000000005</v>
      </c>
      <c r="I24" s="565">
        <f t="shared" si="17"/>
        <v>6224.3745630000003</v>
      </c>
      <c r="J24" s="565">
        <f t="shared" si="17"/>
        <v>6411.1057998900005</v>
      </c>
      <c r="K24" s="565">
        <f t="shared" si="17"/>
        <v>6603.4389738867003</v>
      </c>
      <c r="L24" s="565">
        <f t="shared" si="17"/>
        <v>6801.5421431033019</v>
      </c>
      <c r="M24" s="565">
        <f t="shared" si="17"/>
        <v>7005.5884073964007</v>
      </c>
      <c r="N24" s="565">
        <f t="shared" si="17"/>
        <v>7215.756059618293</v>
      </c>
      <c r="O24" s="565">
        <f t="shared" si="17"/>
        <v>7432.2287414068423</v>
      </c>
      <c r="P24" s="565">
        <f t="shared" si="17"/>
        <v>7655.1956036490474</v>
      </c>
      <c r="Q24" s="565">
        <f t="shared" si="17"/>
        <v>7884.8514717585194</v>
      </c>
      <c r="R24" s="565">
        <f t="shared" si="17"/>
        <v>8121.397015911275</v>
      </c>
      <c r="S24" s="168"/>
      <c r="T24" s="12"/>
    </row>
    <row r="25" spans="1:160" s="3" customFormat="1" ht="15" x14ac:dyDescent="0.2">
      <c r="A25" s="153"/>
      <c r="B25" s="208" t="str">
        <f>'T12'!C35</f>
        <v>Repairs &amp; Maintenance</v>
      </c>
      <c r="C25" s="209"/>
      <c r="D25" s="209"/>
      <c r="E25" s="209"/>
      <c r="F25" s="210"/>
      <c r="G25" s="547">
        <f>'T12'!Q35</f>
        <v>7709.0000000000009</v>
      </c>
      <c r="H25" s="565">
        <f t="shared" si="17"/>
        <v>7940.2700000000013</v>
      </c>
      <c r="I25" s="565">
        <f t="shared" si="17"/>
        <v>8178.4781000000012</v>
      </c>
      <c r="J25" s="565">
        <f t="shared" si="17"/>
        <v>8423.8324430000011</v>
      </c>
      <c r="K25" s="565">
        <f t="shared" si="17"/>
        <v>8676.5474162900009</v>
      </c>
      <c r="L25" s="565">
        <f t="shared" si="17"/>
        <v>8936.843838778701</v>
      </c>
      <c r="M25" s="565">
        <f t="shared" si="17"/>
        <v>9204.9491539420615</v>
      </c>
      <c r="N25" s="565">
        <f t="shared" si="17"/>
        <v>9481.0976285603228</v>
      </c>
      <c r="O25" s="565">
        <f t="shared" si="17"/>
        <v>9765.5305574171325</v>
      </c>
      <c r="P25" s="565">
        <f t="shared" si="17"/>
        <v>10058.496474139647</v>
      </c>
      <c r="Q25" s="565">
        <f t="shared" si="17"/>
        <v>10360.251368363837</v>
      </c>
      <c r="R25" s="565">
        <f t="shared" si="17"/>
        <v>10671.058909414753</v>
      </c>
      <c r="S25" s="168"/>
      <c r="T25" s="12"/>
    </row>
    <row r="26" spans="1:160" s="3" customFormat="1" ht="15" x14ac:dyDescent="0.2">
      <c r="A26" s="153"/>
      <c r="B26" s="208" t="str">
        <f>'T12'!C36</f>
        <v>Janitorial / Trash</v>
      </c>
      <c r="C26" s="209"/>
      <c r="D26" s="209"/>
      <c r="E26" s="211"/>
      <c r="F26" s="210"/>
      <c r="G26" s="547">
        <f>'T12'!Q36</f>
        <v>579.06000000000006</v>
      </c>
      <c r="H26" s="565">
        <f t="shared" si="17"/>
        <v>596.43180000000007</v>
      </c>
      <c r="I26" s="565">
        <f t="shared" si="17"/>
        <v>614.3247540000001</v>
      </c>
      <c r="J26" s="565">
        <f t="shared" si="17"/>
        <v>632.75449662000017</v>
      </c>
      <c r="K26" s="565">
        <f t="shared" si="17"/>
        <v>651.73713151860022</v>
      </c>
      <c r="L26" s="565">
        <f t="shared" si="17"/>
        <v>671.28924546415828</v>
      </c>
      <c r="M26" s="565">
        <f t="shared" si="17"/>
        <v>691.42792282808307</v>
      </c>
      <c r="N26" s="565">
        <f t="shared" si="17"/>
        <v>712.17076051292554</v>
      </c>
      <c r="O26" s="565">
        <f t="shared" si="17"/>
        <v>733.53588332831328</v>
      </c>
      <c r="P26" s="565">
        <f t="shared" si="17"/>
        <v>755.5419598281627</v>
      </c>
      <c r="Q26" s="565">
        <f t="shared" si="17"/>
        <v>778.20821862300761</v>
      </c>
      <c r="R26" s="565">
        <f t="shared" si="17"/>
        <v>801.55446518169788</v>
      </c>
      <c r="S26" s="168"/>
      <c r="T26" s="12"/>
    </row>
    <row r="27" spans="1:160" s="3" customFormat="1" ht="15" x14ac:dyDescent="0.2">
      <c r="A27" s="153"/>
      <c r="B27" s="208" t="str">
        <f>'T12'!C37</f>
        <v>Security / Life Safety</v>
      </c>
      <c r="C27" s="209"/>
      <c r="D27" s="209"/>
      <c r="E27" s="209"/>
      <c r="F27" s="210"/>
      <c r="G27" s="547">
        <f>'T12'!Q37</f>
        <v>279</v>
      </c>
      <c r="H27" s="565">
        <f t="shared" ref="H27" si="18">G27*(1+H$54)</f>
        <v>287.37</v>
      </c>
      <c r="I27" s="565">
        <f t="shared" ref="I27" si="19">H27*(1+I$54)</f>
        <v>295.99110000000002</v>
      </c>
      <c r="J27" s="565">
        <f t="shared" ref="J27" si="20">I27*(1+J$54)</f>
        <v>304.870833</v>
      </c>
      <c r="K27" s="565">
        <f t="shared" ref="K27" si="21">J27*(1+K$54)</f>
        <v>314.01695799000004</v>
      </c>
      <c r="L27" s="565">
        <f t="shared" ref="L27" si="22">K27*(1+L$54)</f>
        <v>323.43746672970002</v>
      </c>
      <c r="M27" s="565">
        <f t="shared" ref="M27" si="23">L27*(1+M$54)</f>
        <v>333.14059073159103</v>
      </c>
      <c r="N27" s="565">
        <f t="shared" ref="N27" si="24">M27*(1+N$54)</f>
        <v>343.13480845353877</v>
      </c>
      <c r="O27" s="565">
        <f t="shared" ref="O27" si="25">N27*(1+O$54)</f>
        <v>353.42885270714493</v>
      </c>
      <c r="P27" s="565">
        <f t="shared" ref="P27" si="26">O27*(1+P$54)</f>
        <v>364.03171828835929</v>
      </c>
      <c r="Q27" s="565">
        <f t="shared" ref="Q27" si="27">P27*(1+Q$54)</f>
        <v>374.95266983701009</v>
      </c>
      <c r="R27" s="565">
        <f t="shared" ref="R27" si="28">Q27*(1+R$54)</f>
        <v>386.20124993212039</v>
      </c>
      <c r="S27" s="168"/>
      <c r="T27" s="12"/>
    </row>
    <row r="28" spans="1:160" s="3" customFormat="1" ht="15" x14ac:dyDescent="0.2">
      <c r="A28" s="153"/>
      <c r="B28" s="208" t="str">
        <f>'T12'!C38</f>
        <v>Utilities / Plumbing</v>
      </c>
      <c r="C28" s="209"/>
      <c r="D28" s="209"/>
      <c r="E28" s="209"/>
      <c r="F28" s="210"/>
      <c r="G28" s="547">
        <f>'T12'!Q38</f>
        <v>120622.43999999999</v>
      </c>
      <c r="H28" s="565">
        <f t="shared" ref="H28:R28" si="29">G28*(1+H$54)</f>
        <v>124241.11319999999</v>
      </c>
      <c r="I28" s="565">
        <f t="shared" si="29"/>
        <v>127968.34659599999</v>
      </c>
      <c r="J28" s="565">
        <f t="shared" si="29"/>
        <v>131807.39699387999</v>
      </c>
      <c r="K28" s="565">
        <f t="shared" si="29"/>
        <v>135761.61890369639</v>
      </c>
      <c r="L28" s="565">
        <f t="shared" si="29"/>
        <v>139834.46747080729</v>
      </c>
      <c r="M28" s="565">
        <f t="shared" si="29"/>
        <v>144029.50149493149</v>
      </c>
      <c r="N28" s="565">
        <f t="shared" si="29"/>
        <v>148350.38653977943</v>
      </c>
      <c r="O28" s="565">
        <f t="shared" si="29"/>
        <v>152800.89813597282</v>
      </c>
      <c r="P28" s="565">
        <f t="shared" si="29"/>
        <v>157384.92508005199</v>
      </c>
      <c r="Q28" s="565">
        <f t="shared" si="29"/>
        <v>162106.47283245355</v>
      </c>
      <c r="R28" s="565">
        <f t="shared" si="29"/>
        <v>166969.66701742716</v>
      </c>
      <c r="S28" s="168"/>
      <c r="T28" s="12"/>
    </row>
    <row r="29" spans="1:160" s="153" customFormat="1" ht="15" x14ac:dyDescent="0.2">
      <c r="B29" s="208" t="str">
        <f>'T12'!C39</f>
        <v>Elevators</v>
      </c>
      <c r="C29" s="209"/>
      <c r="D29" s="209"/>
      <c r="E29" s="209"/>
      <c r="F29" s="210"/>
      <c r="G29" s="547">
        <f>'T12'!Q39</f>
        <v>0</v>
      </c>
      <c r="H29" s="565">
        <f t="shared" ref="H29:R29" si="30">G29*(1+H$54)</f>
        <v>0</v>
      </c>
      <c r="I29" s="565">
        <f t="shared" si="30"/>
        <v>0</v>
      </c>
      <c r="J29" s="565">
        <f t="shared" si="30"/>
        <v>0</v>
      </c>
      <c r="K29" s="565">
        <f t="shared" si="30"/>
        <v>0</v>
      </c>
      <c r="L29" s="565">
        <f t="shared" si="30"/>
        <v>0</v>
      </c>
      <c r="M29" s="565">
        <f t="shared" si="30"/>
        <v>0</v>
      </c>
      <c r="N29" s="565">
        <f t="shared" si="30"/>
        <v>0</v>
      </c>
      <c r="O29" s="565">
        <f t="shared" si="30"/>
        <v>0</v>
      </c>
      <c r="P29" s="565">
        <f t="shared" si="30"/>
        <v>0</v>
      </c>
      <c r="Q29" s="565">
        <f t="shared" si="30"/>
        <v>0</v>
      </c>
      <c r="R29" s="565">
        <f t="shared" si="30"/>
        <v>0</v>
      </c>
      <c r="S29" s="168"/>
      <c r="T29" s="12"/>
      <c r="Y29" s="169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D29" s="163"/>
    </row>
    <row r="30" spans="1:160" s="153" customFormat="1" ht="15" x14ac:dyDescent="0.2">
      <c r="B30" s="208" t="str">
        <f>'T12'!C40</f>
        <v>Garage</v>
      </c>
      <c r="C30" s="209"/>
      <c r="D30" s="209"/>
      <c r="E30" s="209"/>
      <c r="F30" s="210"/>
      <c r="G30" s="547">
        <f>'T12'!Q40</f>
        <v>0</v>
      </c>
      <c r="H30" s="565">
        <f t="shared" ref="H30:R30" si="31">G30*(1+H$54)</f>
        <v>0</v>
      </c>
      <c r="I30" s="565">
        <f t="shared" si="31"/>
        <v>0</v>
      </c>
      <c r="J30" s="565">
        <f t="shared" si="31"/>
        <v>0</v>
      </c>
      <c r="K30" s="565">
        <f t="shared" si="31"/>
        <v>0</v>
      </c>
      <c r="L30" s="565">
        <f t="shared" si="31"/>
        <v>0</v>
      </c>
      <c r="M30" s="565">
        <f t="shared" si="31"/>
        <v>0</v>
      </c>
      <c r="N30" s="565">
        <f t="shared" si="31"/>
        <v>0</v>
      </c>
      <c r="O30" s="565">
        <f t="shared" si="31"/>
        <v>0</v>
      </c>
      <c r="P30" s="565">
        <f t="shared" si="31"/>
        <v>0</v>
      </c>
      <c r="Q30" s="565">
        <f t="shared" si="31"/>
        <v>0</v>
      </c>
      <c r="R30" s="565">
        <f t="shared" si="31"/>
        <v>0</v>
      </c>
      <c r="S30" s="168"/>
      <c r="T30" s="12"/>
      <c r="Y30" s="169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D30" s="163"/>
    </row>
    <row r="31" spans="1:160" s="153" customFormat="1" ht="15" x14ac:dyDescent="0.2">
      <c r="B31" s="208" t="str">
        <f>'T12'!C41</f>
        <v>Fees</v>
      </c>
      <c r="C31" s="209"/>
      <c r="D31" s="209"/>
      <c r="E31" s="211"/>
      <c r="F31" s="210"/>
      <c r="G31" s="547">
        <f>'T12'!Q41</f>
        <v>0</v>
      </c>
      <c r="H31" s="565">
        <f t="shared" ref="H31:R31" si="32">G31*(1+H$54)</f>
        <v>0</v>
      </c>
      <c r="I31" s="565">
        <f t="shared" si="32"/>
        <v>0</v>
      </c>
      <c r="J31" s="565">
        <f t="shared" si="32"/>
        <v>0</v>
      </c>
      <c r="K31" s="565">
        <f t="shared" si="32"/>
        <v>0</v>
      </c>
      <c r="L31" s="565">
        <f t="shared" si="32"/>
        <v>0</v>
      </c>
      <c r="M31" s="565">
        <f t="shared" si="32"/>
        <v>0</v>
      </c>
      <c r="N31" s="565">
        <f t="shared" si="32"/>
        <v>0</v>
      </c>
      <c r="O31" s="565">
        <f t="shared" si="32"/>
        <v>0</v>
      </c>
      <c r="P31" s="565">
        <f t="shared" si="32"/>
        <v>0</v>
      </c>
      <c r="Q31" s="565">
        <f t="shared" si="32"/>
        <v>0</v>
      </c>
      <c r="R31" s="565">
        <f t="shared" si="32"/>
        <v>0</v>
      </c>
      <c r="S31" s="168"/>
      <c r="T31" s="12"/>
      <c r="Y31" s="169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D31" s="163"/>
    </row>
    <row r="32" spans="1:160" s="153" customFormat="1" ht="15" x14ac:dyDescent="0.2">
      <c r="B32" s="208" t="str">
        <f>'T12'!C42</f>
        <v>Miscellaneous</v>
      </c>
      <c r="C32" s="209"/>
      <c r="D32" s="209"/>
      <c r="E32" s="211"/>
      <c r="F32" s="210"/>
      <c r="G32" s="547">
        <f>'T12'!Q42</f>
        <v>0</v>
      </c>
      <c r="H32" s="565">
        <f t="shared" ref="H32:R33" si="33">G32*(1+H$54)</f>
        <v>0</v>
      </c>
      <c r="I32" s="565">
        <f t="shared" si="33"/>
        <v>0</v>
      </c>
      <c r="J32" s="565">
        <f t="shared" si="33"/>
        <v>0</v>
      </c>
      <c r="K32" s="565">
        <f t="shared" si="33"/>
        <v>0</v>
      </c>
      <c r="L32" s="565">
        <f t="shared" si="33"/>
        <v>0</v>
      </c>
      <c r="M32" s="565">
        <f t="shared" si="33"/>
        <v>0</v>
      </c>
      <c r="N32" s="565">
        <f t="shared" si="33"/>
        <v>0</v>
      </c>
      <c r="O32" s="565">
        <f t="shared" si="33"/>
        <v>0</v>
      </c>
      <c r="P32" s="565">
        <f t="shared" si="33"/>
        <v>0</v>
      </c>
      <c r="Q32" s="565">
        <f t="shared" si="33"/>
        <v>0</v>
      </c>
      <c r="R32" s="565">
        <f t="shared" si="33"/>
        <v>0</v>
      </c>
      <c r="S32" s="168"/>
      <c r="T32" s="12"/>
      <c r="U32" s="163"/>
      <c r="V32" s="171"/>
      <c r="W32" s="172"/>
      <c r="Y32" s="169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D32" s="163"/>
    </row>
    <row r="33" spans="1:21" s="3" customFormat="1" ht="15" x14ac:dyDescent="0.2">
      <c r="A33" s="153"/>
      <c r="B33" s="208" t="str">
        <f>'T12'!C43</f>
        <v>Insurance</v>
      </c>
      <c r="C33" s="209"/>
      <c r="D33" s="209"/>
      <c r="E33" s="211"/>
      <c r="F33" s="210"/>
      <c r="G33" s="547">
        <f>'T12'!Q43</f>
        <v>37680.629999999997</v>
      </c>
      <c r="H33" s="565">
        <f>G33*(1+H$54)</f>
        <v>38811.048900000002</v>
      </c>
      <c r="I33" s="565">
        <f t="shared" si="33"/>
        <v>39975.380367000005</v>
      </c>
      <c r="J33" s="565">
        <f t="shared" si="33"/>
        <v>41174.641778010009</v>
      </c>
      <c r="K33" s="565">
        <f t="shared" si="33"/>
        <v>42409.881031350313</v>
      </c>
      <c r="L33" s="565">
        <f t="shared" si="33"/>
        <v>43682.17746229082</v>
      </c>
      <c r="M33" s="565">
        <f t="shared" si="33"/>
        <v>44992.642786159544</v>
      </c>
      <c r="N33" s="565">
        <f t="shared" si="33"/>
        <v>46342.422069744331</v>
      </c>
      <c r="O33" s="565">
        <f t="shared" si="33"/>
        <v>47732.694731836658</v>
      </c>
      <c r="P33" s="565">
        <f t="shared" si="33"/>
        <v>49164.675573791763</v>
      </c>
      <c r="Q33" s="565">
        <f t="shared" si="33"/>
        <v>50639.615841005514</v>
      </c>
      <c r="R33" s="565">
        <f t="shared" si="33"/>
        <v>52158.804316235684</v>
      </c>
      <c r="S33" s="168"/>
      <c r="T33" s="567"/>
      <c r="U33" s="568"/>
    </row>
    <row r="34" spans="1:21" s="3" customFormat="1" ht="15" x14ac:dyDescent="0.2">
      <c r="A34" s="153"/>
      <c r="B34" s="208" t="str">
        <f>'T12'!C44</f>
        <v>Real Estate Taxes</v>
      </c>
      <c r="C34" s="209"/>
      <c r="D34" s="209"/>
      <c r="E34" s="209"/>
      <c r="F34" s="210"/>
      <c r="G34" s="547">
        <f>'T12'!Q44</f>
        <v>88591.96</v>
      </c>
      <c r="H34" s="565">
        <f>G34*(1+H$55)</f>
        <v>89477.8796</v>
      </c>
      <c r="I34" s="565">
        <f t="shared" ref="I34:R34" si="34">H34*(1+I$55)</f>
        <v>116510.83317811291</v>
      </c>
      <c r="J34" s="565">
        <f t="shared" si="34"/>
        <v>117675.94150989404</v>
      </c>
      <c r="K34" s="565">
        <f t="shared" si="34"/>
        <v>118852.70092499298</v>
      </c>
      <c r="L34" s="565">
        <f t="shared" si="34"/>
        <v>120041.22793424291</v>
      </c>
      <c r="M34" s="565">
        <f t="shared" si="34"/>
        <v>121241.64021358534</v>
      </c>
      <c r="N34" s="565">
        <f t="shared" si="34"/>
        <v>122454.0566157212</v>
      </c>
      <c r="O34" s="565">
        <f t="shared" si="34"/>
        <v>123678.59718187842</v>
      </c>
      <c r="P34" s="565">
        <f t="shared" si="34"/>
        <v>124915.3831536972</v>
      </c>
      <c r="Q34" s="565">
        <f t="shared" si="34"/>
        <v>126164.53698523417</v>
      </c>
      <c r="R34" s="565">
        <f t="shared" si="34"/>
        <v>127426.18235508651</v>
      </c>
      <c r="S34" s="168"/>
    </row>
    <row r="35" spans="1:21" s="3" customFormat="1" ht="15.75" thickBot="1" x14ac:dyDescent="0.25">
      <c r="A35" s="160"/>
      <c r="B35" s="381" t="s">
        <v>74</v>
      </c>
      <c r="C35" s="378"/>
      <c r="D35" s="378"/>
      <c r="E35" s="378"/>
      <c r="F35" s="379"/>
      <c r="G35" s="550">
        <f>SUM(G19:G34)</f>
        <v>499354.66000000003</v>
      </c>
      <c r="H35" s="380">
        <f>SUM(H19:H34)</f>
        <v>512563.46059999993</v>
      </c>
      <c r="I35" s="380">
        <f t="shared" ref="I35:R35" si="35">SUM(I19:I34)</f>
        <v>552288.98160811281</v>
      </c>
      <c r="J35" s="380">
        <f t="shared" si="35"/>
        <v>566527.43439279404</v>
      </c>
      <c r="K35" s="380">
        <f t="shared" si="35"/>
        <v>581169.73859437997</v>
      </c>
      <c r="L35" s="380">
        <f t="shared" si="35"/>
        <v>596227.77673371148</v>
      </c>
      <c r="M35" s="380">
        <f t="shared" si="35"/>
        <v>611713.78547703801</v>
      </c>
      <c r="N35" s="380">
        <f t="shared" si="35"/>
        <v>627640.36623707751</v>
      </c>
      <c r="O35" s="380">
        <f t="shared" si="35"/>
        <v>644020.49609187536</v>
      </c>
      <c r="P35" s="380">
        <f t="shared" si="35"/>
        <v>660867.53903099417</v>
      </c>
      <c r="Q35" s="380">
        <f t="shared" si="35"/>
        <v>678195.25753884984</v>
      </c>
      <c r="R35" s="380">
        <f t="shared" si="35"/>
        <v>696017.82452531077</v>
      </c>
      <c r="S35" s="173"/>
    </row>
    <row r="36" spans="1:21" s="3" customFormat="1" ht="16.5" thickTop="1" thickBot="1" x14ac:dyDescent="0.25">
      <c r="A36" s="153"/>
      <c r="B36" s="382" t="s">
        <v>2</v>
      </c>
      <c r="C36" s="382"/>
      <c r="D36" s="382"/>
      <c r="E36" s="382"/>
      <c r="F36" s="383"/>
      <c r="G36" s="551">
        <f t="shared" ref="G36:R36" si="36">G16-G35</f>
        <v>451257.22</v>
      </c>
      <c r="H36" s="384">
        <f t="shared" si="36"/>
        <v>427189.90901347081</v>
      </c>
      <c r="I36" s="384">
        <f t="shared" si="36"/>
        <v>502601.51878594863</v>
      </c>
      <c r="J36" s="384">
        <f t="shared" si="36"/>
        <v>572421.88613646501</v>
      </c>
      <c r="K36" s="384">
        <f t="shared" si="36"/>
        <v>591948.06155147287</v>
      </c>
      <c r="L36" s="384">
        <f t="shared" si="36"/>
        <v>612083.55741725431</v>
      </c>
      <c r="M36" s="384">
        <f t="shared" si="36"/>
        <v>632846.8886992163</v>
      </c>
      <c r="N36" s="384">
        <f t="shared" si="36"/>
        <v>654257.12816524704</v>
      </c>
      <c r="O36" s="384">
        <f t="shared" si="36"/>
        <v>676333.92314332456</v>
      </c>
      <c r="P36" s="384">
        <f t="shared" si="36"/>
        <v>699097.51278209139</v>
      </c>
      <c r="Q36" s="384">
        <f t="shared" si="36"/>
        <v>722568.74582948338</v>
      </c>
      <c r="R36" s="384">
        <f t="shared" si="36"/>
        <v>746769.09894495236</v>
      </c>
      <c r="S36" s="153"/>
    </row>
    <row r="37" spans="1:21" s="3" customFormat="1" ht="15.75" thickTop="1" x14ac:dyDescent="0.2">
      <c r="A37" s="153"/>
      <c r="B37" s="214" t="s">
        <v>10</v>
      </c>
      <c r="C37" s="191"/>
      <c r="D37" s="191"/>
      <c r="E37" s="191"/>
      <c r="F37" s="212"/>
      <c r="G37" s="213"/>
      <c r="H37" s="215">
        <f t="shared" ref="H37:R37" si="37">H36/H16</f>
        <v>0.45457661853256026</v>
      </c>
      <c r="I37" s="215">
        <f t="shared" si="37"/>
        <v>0.47644899503616578</v>
      </c>
      <c r="J37" s="215">
        <f t="shared" si="37"/>
        <v>0.50258767077578648</v>
      </c>
      <c r="K37" s="215">
        <f t="shared" si="37"/>
        <v>0.50459387921475274</v>
      </c>
      <c r="L37" s="215">
        <f t="shared" si="37"/>
        <v>0.50656113215005305</v>
      </c>
      <c r="M37" s="215">
        <f t="shared" si="37"/>
        <v>0.50849018599923457</v>
      </c>
      <c r="N37" s="215">
        <f t="shared" si="37"/>
        <v>0.51038178249212485</v>
      </c>
      <c r="O37" s="215">
        <f t="shared" si="37"/>
        <v>0.51223664895603049</v>
      </c>
      <c r="P37" s="215">
        <f t="shared" si="37"/>
        <v>0.51405549859539756</v>
      </c>
      <c r="Q37" s="215">
        <f t="shared" si="37"/>
        <v>0.51583903076604309</v>
      </c>
      <c r="R37" s="215">
        <f t="shared" si="37"/>
        <v>0.51758793124405789</v>
      </c>
      <c r="S37" s="153"/>
    </row>
    <row r="38" spans="1:21" s="3" customFormat="1" ht="15" x14ac:dyDescent="0.2">
      <c r="A38" s="153"/>
      <c r="B38" s="214"/>
      <c r="C38" s="191"/>
      <c r="D38" s="191"/>
      <c r="E38" s="191"/>
      <c r="F38" s="570"/>
      <c r="G38" s="213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153"/>
    </row>
    <row r="39" spans="1:21" s="3" customFormat="1" ht="15" x14ac:dyDescent="0.2">
      <c r="A39" s="160"/>
      <c r="B39" s="179" t="s">
        <v>181</v>
      </c>
      <c r="C39" s="179"/>
      <c r="D39" s="179"/>
      <c r="E39" s="179"/>
      <c r="F39" s="386"/>
      <c r="G39" s="195"/>
      <c r="H39" s="569">
        <f>'APARTMENT CapEx'!U52</f>
        <v>1054488.06</v>
      </c>
      <c r="I39" s="569">
        <f>'APARTMENT CapEx'!V52*(1+I56)</f>
        <v>64272</v>
      </c>
      <c r="J39" s="569">
        <f>'APARTMENT CapEx'!W52*(1+J56)*(1+I56)</f>
        <v>0</v>
      </c>
      <c r="K39" s="569">
        <f>'APARTMENT CapEx'!X52*(1+K56)*(1+J56)*(1+I56)</f>
        <v>0</v>
      </c>
      <c r="L39" s="569">
        <f>'APARTMENT CapEx'!Y52*(1+L56)*(1+K56)*(1+J56)*(1+I56)</f>
        <v>0</v>
      </c>
      <c r="M39" s="569">
        <f>'APARTMENT CapEx'!Z52*(1+M56)*(1+L56)*(1+K56)*(1+J56)*(1+I56)</f>
        <v>30278.789728123127</v>
      </c>
      <c r="N39" s="569">
        <f>'APARTMENT CapEx'!AA52*(1+N56)*(1+M56)*(1+L56)*(1+K56)*(1+J56)*(1+I56)</f>
        <v>74508.863303409613</v>
      </c>
      <c r="O39" s="569">
        <f>'APARTMENT CapEx'!AB52*(1+O56)*(1+N56)*(1+M56)*(1+L56)*(1+K56)*(1+J56)*(1+I56)</f>
        <v>0</v>
      </c>
      <c r="P39" s="569">
        <f>'APARTMENT CapEx'!AC52*(1+P56)*(1+O56)*(1+N56)*(1+M56)*(1+L56)*(1+K56)*(1+J56)*(1+I56)</f>
        <v>0</v>
      </c>
      <c r="Q39" s="569">
        <f>'APARTMENT CapEx'!AD52*(1+Q56)*(1+P56)*(1+O56)*(1+N56)*(1+M56)*(1+L56)*(1+K56)*(1+J56)*(1+I56)</f>
        <v>0</v>
      </c>
      <c r="R39" s="569">
        <f>'APARTMENT CapEx'!AE52*(1+R56)*(1+Q56)*(1+P56)*(1+O56)*(1+N56)*(1+M56)*(1+L56)*(1+K56)*(1+J56)*(1+I56)</f>
        <v>0</v>
      </c>
      <c r="S39" s="450">
        <v>0</v>
      </c>
    </row>
    <row r="40" spans="1:21" s="3" customFormat="1" ht="15" x14ac:dyDescent="0.2">
      <c r="A40" s="160"/>
      <c r="B40" s="179" t="s">
        <v>187</v>
      </c>
      <c r="C40" s="179"/>
      <c r="D40" s="179"/>
      <c r="E40" s="179"/>
      <c r="F40" s="386"/>
      <c r="G40" s="195"/>
      <c r="H40" s="450">
        <f>SUM(Rehab!N23:N34)</f>
        <v>318717.94871794869</v>
      </c>
      <c r="I40" s="450">
        <f>SUM(Rehab!$N35:$N46)*(1+I56)</f>
        <v>183836.51282051281</v>
      </c>
      <c r="J40" s="450">
        <f>SUM(Rehab!$N47:$N58)*(1+J56)</f>
        <v>0</v>
      </c>
      <c r="K40" s="450">
        <f>SUM(Rehab!$N59:$N70)*(1+K56)</f>
        <v>0</v>
      </c>
      <c r="L40" s="450">
        <f>SUM(Rehab!$N71:$N82)*(1+L56)</f>
        <v>0</v>
      </c>
      <c r="M40" s="450">
        <f>SUM(Rehab!$N83:$N94)*(1+M56)</f>
        <v>0</v>
      </c>
      <c r="N40" s="450">
        <f>SUM(Rehab!$N95:$N106)*(1+N56)</f>
        <v>0</v>
      </c>
      <c r="O40" s="450">
        <f>SUM(Rehab!$N107:$N118)*(1+O56)</f>
        <v>0</v>
      </c>
      <c r="P40" s="450">
        <f>SUM(Rehab!$N119:$N130)*(1+P56)</f>
        <v>0</v>
      </c>
      <c r="Q40" s="450">
        <f>SUM(Rehab!$N131:$N142)*(1+Q56)</f>
        <v>0</v>
      </c>
      <c r="R40" s="450">
        <f>SUM(Rehab!$N143:$N154)*(1+R56)</f>
        <v>0</v>
      </c>
      <c r="S40" s="450">
        <v>0</v>
      </c>
    </row>
    <row r="41" spans="1:21" s="3" customFormat="1" ht="15" x14ac:dyDescent="0.2">
      <c r="A41" s="160"/>
      <c r="B41" s="179" t="s">
        <v>78</v>
      </c>
      <c r="C41" s="191"/>
      <c r="D41" s="191"/>
      <c r="E41" s="191"/>
      <c r="F41" s="212"/>
      <c r="G41" s="731">
        <v>250</v>
      </c>
      <c r="H41" s="200">
        <f>$G41*(1+H$57)*'Rent Roll'!$C$20</f>
        <v>20085</v>
      </c>
      <c r="I41" s="200">
        <f>H$41*(1+I$57)</f>
        <v>20687.55</v>
      </c>
      <c r="J41" s="200">
        <f t="shared" ref="J41:R41" si="38">I$41*(1+J$57)</f>
        <v>21308.176500000001</v>
      </c>
      <c r="K41" s="200">
        <f t="shared" si="38"/>
        <v>21947.421795000002</v>
      </c>
      <c r="L41" s="200">
        <f t="shared" si="38"/>
        <v>22605.844448850003</v>
      </c>
      <c r="M41" s="200">
        <f t="shared" si="38"/>
        <v>23284.019782315503</v>
      </c>
      <c r="N41" s="200">
        <f t="shared" si="38"/>
        <v>23982.540375784967</v>
      </c>
      <c r="O41" s="200">
        <f t="shared" si="38"/>
        <v>24702.016587058515</v>
      </c>
      <c r="P41" s="200">
        <f t="shared" si="38"/>
        <v>25443.077084670273</v>
      </c>
      <c r="Q41" s="200">
        <f t="shared" si="38"/>
        <v>26206.369397210383</v>
      </c>
      <c r="R41" s="200">
        <f t="shared" si="38"/>
        <v>26992.560479126696</v>
      </c>
      <c r="S41" s="153"/>
      <c r="T41" s="785"/>
    </row>
    <row r="42" spans="1:21" s="3" customFormat="1" ht="15.75" thickBot="1" x14ac:dyDescent="0.25">
      <c r="A42" s="160"/>
      <c r="B42" s="191" t="s">
        <v>79</v>
      </c>
      <c r="C42" s="191"/>
      <c r="D42" s="191"/>
      <c r="E42" s="191"/>
      <c r="F42" s="217"/>
      <c r="G42" s="218"/>
      <c r="H42" s="385">
        <f t="shared" ref="H42:R42" si="39">H36-SUM(H39:H41)</f>
        <v>-966101.09970447794</v>
      </c>
      <c r="I42" s="385">
        <f t="shared" si="39"/>
        <v>233805.45596543583</v>
      </c>
      <c r="J42" s="385">
        <f t="shared" si="39"/>
        <v>551113.70963646495</v>
      </c>
      <c r="K42" s="385">
        <f t="shared" si="39"/>
        <v>570000.6397564729</v>
      </c>
      <c r="L42" s="385">
        <f t="shared" si="39"/>
        <v>589477.71296840429</v>
      </c>
      <c r="M42" s="385">
        <f t="shared" si="39"/>
        <v>579284.07918877772</v>
      </c>
      <c r="N42" s="385">
        <f t="shared" si="39"/>
        <v>555765.72448605241</v>
      </c>
      <c r="O42" s="385">
        <f t="shared" si="39"/>
        <v>651631.90655626601</v>
      </c>
      <c r="P42" s="385">
        <f t="shared" si="39"/>
        <v>673654.43569742108</v>
      </c>
      <c r="Q42" s="385">
        <f t="shared" si="39"/>
        <v>696362.37643227295</v>
      </c>
      <c r="R42" s="385">
        <f t="shared" si="39"/>
        <v>719776.53846582561</v>
      </c>
      <c r="S42" s="153"/>
    </row>
    <row r="43" spans="1:21" s="3" customFormat="1" ht="15.75" thickTop="1" x14ac:dyDescent="0.2">
      <c r="A43" s="153"/>
      <c r="B43" s="219" t="s">
        <v>185</v>
      </c>
      <c r="C43" s="179"/>
      <c r="D43" s="179"/>
      <c r="E43" s="179"/>
      <c r="F43" s="195"/>
      <c r="G43" s="195"/>
      <c r="H43" s="215">
        <f t="shared" ref="H43:Q43" si="40">(H36/G36)-1</f>
        <v>-5.333390784645875E-2</v>
      </c>
      <c r="I43" s="215">
        <f t="shared" si="40"/>
        <v>0.17652947361661542</v>
      </c>
      <c r="J43" s="215">
        <f t="shared" si="40"/>
        <v>0.13891793944270181</v>
      </c>
      <c r="K43" s="215">
        <f t="shared" si="40"/>
        <v>3.4111510911644105E-2</v>
      </c>
      <c r="L43" s="215">
        <f t="shared" si="40"/>
        <v>3.4015646259584198E-2</v>
      </c>
      <c r="M43" s="215">
        <f t="shared" si="40"/>
        <v>3.3922380417430009E-2</v>
      </c>
      <c r="N43" s="215">
        <f t="shared" si="40"/>
        <v>3.3831626335460552E-2</v>
      </c>
      <c r="O43" s="215">
        <f t="shared" si="40"/>
        <v>3.3743300649987873E-2</v>
      </c>
      <c r="P43" s="215">
        <f t="shared" si="40"/>
        <v>3.3657323490400959E-2</v>
      </c>
      <c r="Q43" s="215">
        <f t="shared" si="40"/>
        <v>3.3573618298235797E-2</v>
      </c>
      <c r="R43" s="215">
        <f>(R36/Q36)-1</f>
        <v>3.3492111657400514E-2</v>
      </c>
      <c r="S43" s="153"/>
    </row>
    <row r="44" spans="1:21" s="3" customFormat="1" ht="15" x14ac:dyDescent="0.2">
      <c r="A44" s="153"/>
      <c r="B44" s="220"/>
      <c r="C44" s="179"/>
      <c r="D44" s="179"/>
      <c r="E44" s="179"/>
      <c r="F44" s="195"/>
      <c r="G44" s="195"/>
      <c r="H44" s="571"/>
      <c r="I44" s="571"/>
      <c r="J44" s="571"/>
      <c r="K44" s="571"/>
      <c r="L44" s="571"/>
      <c r="M44" s="571"/>
      <c r="N44" s="221"/>
      <c r="O44" s="221"/>
      <c r="P44" s="221"/>
      <c r="Q44" s="221"/>
      <c r="R44" s="221"/>
      <c r="S44" s="153"/>
    </row>
    <row r="45" spans="1:21" s="3" customFormat="1" ht="15" x14ac:dyDescent="0.25">
      <c r="A45" s="160"/>
      <c r="C45" s="1"/>
      <c r="D45" s="1"/>
      <c r="E45" s="1"/>
      <c r="F45" s="1"/>
      <c r="G45" s="533" t="s">
        <v>174</v>
      </c>
      <c r="H45" s="534">
        <v>0.03</v>
      </c>
      <c r="I45" s="534">
        <f>$H$45</f>
        <v>0.03</v>
      </c>
      <c r="J45" s="534">
        <f t="shared" ref="J45:R45" si="41">$H$45</f>
        <v>0.03</v>
      </c>
      <c r="K45" s="534">
        <f t="shared" si="41"/>
        <v>0.03</v>
      </c>
      <c r="L45" s="534">
        <f t="shared" si="41"/>
        <v>0.03</v>
      </c>
      <c r="M45" s="534">
        <f t="shared" si="41"/>
        <v>0.03</v>
      </c>
      <c r="N45" s="534">
        <f t="shared" si="41"/>
        <v>0.03</v>
      </c>
      <c r="O45" s="534">
        <f t="shared" si="41"/>
        <v>0.03</v>
      </c>
      <c r="P45" s="534">
        <f t="shared" si="41"/>
        <v>0.03</v>
      </c>
      <c r="Q45" s="534">
        <f t="shared" si="41"/>
        <v>0.03</v>
      </c>
      <c r="R45" s="534">
        <f t="shared" si="41"/>
        <v>0.03</v>
      </c>
      <c r="S45" s="153"/>
    </row>
    <row r="46" spans="1:21" s="3" customFormat="1" ht="15" x14ac:dyDescent="0.25">
      <c r="A46" s="160"/>
      <c r="C46" s="1"/>
      <c r="D46" s="1"/>
      <c r="E46" s="1"/>
      <c r="F46" s="1"/>
      <c r="G46" s="533" t="s">
        <v>186</v>
      </c>
      <c r="H46" s="535">
        <f>Rehab!$R34</f>
        <v>9.5495346378937196E-2</v>
      </c>
      <c r="I46" s="535">
        <f>Rehab!$R46</f>
        <v>7.5158401139710174E-2</v>
      </c>
      <c r="J46" s="535">
        <f>Rehab!$R58</f>
        <v>3.0000000000710125E-2</v>
      </c>
      <c r="K46" s="535">
        <f>Rehab!$R70</f>
        <v>3.0000000000710347E-2</v>
      </c>
      <c r="L46" s="535">
        <f>Rehab!$R82</f>
        <v>3.0000000000710125E-2</v>
      </c>
      <c r="M46" s="535">
        <f>Rehab!$R94</f>
        <v>3.0000000000710125E-2</v>
      </c>
      <c r="N46" s="535">
        <f>Rehab!$R106</f>
        <v>3.0000000000710347E-2</v>
      </c>
      <c r="O46" s="535">
        <f>Rehab!$R118</f>
        <v>3.0000000000709903E-2</v>
      </c>
      <c r="P46" s="535">
        <f>Rehab!$R130</f>
        <v>3.0000000000709903E-2</v>
      </c>
      <c r="Q46" s="535">
        <f>Rehab!$R142</f>
        <v>3.0000000000709903E-2</v>
      </c>
      <c r="R46" s="535">
        <f>Rehab!$R154</f>
        <v>3.0000000000710125E-2</v>
      </c>
      <c r="S46" s="535">
        <f>Rehab!$R34</f>
        <v>9.5495346378937196E-2</v>
      </c>
    </row>
    <row r="47" spans="1:21" s="3" customFormat="1" ht="15" x14ac:dyDescent="0.25">
      <c r="A47" s="160"/>
      <c r="C47" s="1"/>
      <c r="D47" s="1"/>
      <c r="E47" s="1"/>
      <c r="F47" s="1"/>
      <c r="G47" s="533" t="s">
        <v>99</v>
      </c>
      <c r="H47" s="534">
        <v>0.03</v>
      </c>
      <c r="I47" s="534">
        <v>0.03</v>
      </c>
      <c r="J47" s="534">
        <v>0.03</v>
      </c>
      <c r="K47" s="534">
        <v>0.03</v>
      </c>
      <c r="L47" s="534">
        <v>0.03</v>
      </c>
      <c r="M47" s="534">
        <v>0.03</v>
      </c>
      <c r="N47" s="534">
        <v>0.03</v>
      </c>
      <c r="O47" s="534">
        <v>0.03</v>
      </c>
      <c r="P47" s="534">
        <v>0.03</v>
      </c>
      <c r="Q47" s="534">
        <v>0.03</v>
      </c>
      <c r="R47" s="534">
        <v>0.03</v>
      </c>
      <c r="S47" s="153"/>
    </row>
    <row r="48" spans="1:21" s="3" customFormat="1" ht="15" x14ac:dyDescent="0.25">
      <c r="A48" s="160"/>
      <c r="C48" s="1"/>
      <c r="D48" s="1"/>
      <c r="E48" s="1"/>
      <c r="F48" s="1"/>
      <c r="G48" s="533" t="s">
        <v>167</v>
      </c>
      <c r="H48" s="534">
        <v>0.5</v>
      </c>
      <c r="I48" s="534">
        <f>$H$48</f>
        <v>0.5</v>
      </c>
      <c r="J48" s="534">
        <f t="shared" ref="J48:S48" si="42">$H$48</f>
        <v>0.5</v>
      </c>
      <c r="K48" s="534">
        <f t="shared" si="42"/>
        <v>0.5</v>
      </c>
      <c r="L48" s="534">
        <f t="shared" si="42"/>
        <v>0.5</v>
      </c>
      <c r="M48" s="534">
        <f t="shared" si="42"/>
        <v>0.5</v>
      </c>
      <c r="N48" s="534">
        <f t="shared" si="42"/>
        <v>0.5</v>
      </c>
      <c r="O48" s="534">
        <f t="shared" si="42"/>
        <v>0.5</v>
      </c>
      <c r="P48" s="534">
        <f t="shared" si="42"/>
        <v>0.5</v>
      </c>
      <c r="Q48" s="534">
        <f t="shared" si="42"/>
        <v>0.5</v>
      </c>
      <c r="R48" s="534">
        <f t="shared" si="42"/>
        <v>0.5</v>
      </c>
      <c r="S48" s="534">
        <f t="shared" si="42"/>
        <v>0.5</v>
      </c>
    </row>
    <row r="49" spans="1:19" s="3" customFormat="1" ht="15" x14ac:dyDescent="0.25">
      <c r="A49" s="160"/>
      <c r="C49" s="1"/>
      <c r="D49" s="1"/>
      <c r="E49" s="1"/>
      <c r="F49" s="1"/>
      <c r="G49" s="533" t="s">
        <v>177</v>
      </c>
      <c r="H49" s="534">
        <v>0.05</v>
      </c>
      <c r="I49" s="534">
        <f>$H$49</f>
        <v>0.05</v>
      </c>
      <c r="J49" s="534">
        <f t="shared" ref="J49:R49" si="43">$H$49</f>
        <v>0.05</v>
      </c>
      <c r="K49" s="534">
        <f t="shared" si="43"/>
        <v>0.05</v>
      </c>
      <c r="L49" s="534">
        <f t="shared" si="43"/>
        <v>0.05</v>
      </c>
      <c r="M49" s="534">
        <f t="shared" si="43"/>
        <v>0.05</v>
      </c>
      <c r="N49" s="534">
        <f t="shared" si="43"/>
        <v>0.05</v>
      </c>
      <c r="O49" s="534">
        <f t="shared" si="43"/>
        <v>0.05</v>
      </c>
      <c r="P49" s="534">
        <f t="shared" si="43"/>
        <v>0.05</v>
      </c>
      <c r="Q49" s="534">
        <f t="shared" si="43"/>
        <v>0.05</v>
      </c>
      <c r="R49" s="534">
        <f t="shared" si="43"/>
        <v>0.05</v>
      </c>
      <c r="S49" s="153"/>
    </row>
    <row r="50" spans="1:19" s="3" customFormat="1" ht="15" x14ac:dyDescent="0.25">
      <c r="A50" s="160"/>
      <c r="C50" s="1"/>
      <c r="D50" s="1"/>
      <c r="E50" s="1"/>
      <c r="F50" s="1"/>
      <c r="G50" s="533" t="s">
        <v>176</v>
      </c>
      <c r="H50" s="535">
        <f>1-Rehab!J34</f>
        <v>5.3418803418803229E-2</v>
      </c>
      <c r="I50" s="535">
        <f>1-Rehab!J46</f>
        <v>2.9914529914529808E-2</v>
      </c>
      <c r="J50" s="535">
        <f>1-Rehab!J58</f>
        <v>0</v>
      </c>
      <c r="K50" s="535">
        <f>1-Rehab!J70</f>
        <v>0</v>
      </c>
      <c r="L50" s="535">
        <f>1-Rehab!J82</f>
        <v>0</v>
      </c>
      <c r="M50" s="535">
        <f>1-Rehab!J94</f>
        <v>0</v>
      </c>
      <c r="N50" s="535">
        <f>1-Rehab!J106</f>
        <v>0</v>
      </c>
      <c r="O50" s="535">
        <f>1-Rehab!J118</f>
        <v>0</v>
      </c>
      <c r="P50" s="535">
        <f>1-Rehab!J130</f>
        <v>0</v>
      </c>
      <c r="Q50" s="535">
        <f>1-Rehab!J142</f>
        <v>0</v>
      </c>
      <c r="R50" s="535">
        <f>1-Rehab!J154</f>
        <v>0</v>
      </c>
      <c r="S50" s="153"/>
    </row>
    <row r="51" spans="1:19" s="3" customFormat="1" ht="15" x14ac:dyDescent="0.25">
      <c r="A51" s="160"/>
      <c r="C51" s="1"/>
      <c r="D51" s="1"/>
      <c r="E51" s="1"/>
      <c r="F51" s="1"/>
      <c r="G51" s="533" t="s">
        <v>170</v>
      </c>
      <c r="H51" s="534">
        <v>5.0000000000000001E-3</v>
      </c>
      <c r="I51" s="534">
        <f>$H$51</f>
        <v>5.0000000000000001E-3</v>
      </c>
      <c r="J51" s="534">
        <f t="shared" ref="J51:R51" si="44">$H$51</f>
        <v>5.0000000000000001E-3</v>
      </c>
      <c r="K51" s="534">
        <f t="shared" si="44"/>
        <v>5.0000000000000001E-3</v>
      </c>
      <c r="L51" s="534">
        <f t="shared" si="44"/>
        <v>5.0000000000000001E-3</v>
      </c>
      <c r="M51" s="534">
        <f t="shared" si="44"/>
        <v>5.0000000000000001E-3</v>
      </c>
      <c r="N51" s="534">
        <f t="shared" si="44"/>
        <v>5.0000000000000001E-3</v>
      </c>
      <c r="O51" s="534">
        <f t="shared" si="44"/>
        <v>5.0000000000000001E-3</v>
      </c>
      <c r="P51" s="534">
        <f t="shared" si="44"/>
        <v>5.0000000000000001E-3</v>
      </c>
      <c r="Q51" s="534">
        <f t="shared" si="44"/>
        <v>5.0000000000000001E-3</v>
      </c>
      <c r="R51" s="534">
        <f t="shared" si="44"/>
        <v>5.0000000000000001E-3</v>
      </c>
      <c r="S51" s="153"/>
    </row>
    <row r="52" spans="1:19" s="3" customFormat="1" ht="15" x14ac:dyDescent="0.25">
      <c r="A52" s="160"/>
      <c r="C52" s="1"/>
      <c r="D52" s="1"/>
      <c r="E52" s="1"/>
      <c r="F52" s="1"/>
      <c r="G52" s="533" t="s">
        <v>171</v>
      </c>
      <c r="H52" s="534">
        <v>8.9999999999999993E-3</v>
      </c>
      <c r="I52" s="534">
        <v>8.9999999999999993E-3</v>
      </c>
      <c r="J52" s="534">
        <v>8.9999999999999993E-3</v>
      </c>
      <c r="K52" s="534">
        <v>8.9999999999999993E-3</v>
      </c>
      <c r="L52" s="534">
        <v>8.9999999999999993E-3</v>
      </c>
      <c r="M52" s="534">
        <v>8.9999999999999993E-3</v>
      </c>
      <c r="N52" s="534">
        <v>8.9999999999999993E-3</v>
      </c>
      <c r="O52" s="534">
        <v>8.9999999999999993E-3</v>
      </c>
      <c r="P52" s="534">
        <v>8.9999999999999993E-3</v>
      </c>
      <c r="Q52" s="534">
        <v>8.9999999999999993E-3</v>
      </c>
      <c r="R52" s="534">
        <v>8.9999999999999993E-3</v>
      </c>
      <c r="S52" s="153"/>
    </row>
    <row r="53" spans="1:19" s="3" customFormat="1" ht="15" x14ac:dyDescent="0.25">
      <c r="A53" s="160"/>
      <c r="C53" s="1"/>
      <c r="D53" s="1"/>
      <c r="E53" s="1"/>
      <c r="F53" s="1"/>
      <c r="G53" s="533" t="s">
        <v>172</v>
      </c>
      <c r="H53" s="534">
        <v>0</v>
      </c>
      <c r="I53" s="534">
        <f>$H$53</f>
        <v>0</v>
      </c>
      <c r="J53" s="534">
        <f t="shared" ref="J53:R53" si="45">$H$53</f>
        <v>0</v>
      </c>
      <c r="K53" s="534">
        <f t="shared" si="45"/>
        <v>0</v>
      </c>
      <c r="L53" s="534">
        <f t="shared" si="45"/>
        <v>0</v>
      </c>
      <c r="M53" s="534">
        <f t="shared" si="45"/>
        <v>0</v>
      </c>
      <c r="N53" s="534">
        <f t="shared" si="45"/>
        <v>0</v>
      </c>
      <c r="O53" s="534">
        <f t="shared" si="45"/>
        <v>0</v>
      </c>
      <c r="P53" s="534">
        <f t="shared" si="45"/>
        <v>0</v>
      </c>
      <c r="Q53" s="534">
        <f t="shared" si="45"/>
        <v>0</v>
      </c>
      <c r="R53" s="534">
        <f t="shared" si="45"/>
        <v>0</v>
      </c>
      <c r="S53" s="153"/>
    </row>
    <row r="54" spans="1:19" s="3" customFormat="1" ht="15" x14ac:dyDescent="0.25">
      <c r="A54" s="160"/>
      <c r="B54" s="1"/>
      <c r="C54" s="1"/>
      <c r="D54" s="1"/>
      <c r="E54" s="1"/>
      <c r="F54" s="1"/>
      <c r="G54" s="533" t="s">
        <v>0</v>
      </c>
      <c r="H54" s="534">
        <v>0.03</v>
      </c>
      <c r="I54" s="534">
        <v>0.03</v>
      </c>
      <c r="J54" s="534">
        <v>0.03</v>
      </c>
      <c r="K54" s="534">
        <v>0.03</v>
      </c>
      <c r="L54" s="534">
        <v>0.03</v>
      </c>
      <c r="M54" s="534">
        <v>0.03</v>
      </c>
      <c r="N54" s="534">
        <v>0.03</v>
      </c>
      <c r="O54" s="534">
        <v>0.03</v>
      </c>
      <c r="P54" s="534">
        <v>0.03</v>
      </c>
      <c r="Q54" s="534">
        <v>0.03</v>
      </c>
      <c r="R54" s="534">
        <v>0.03</v>
      </c>
      <c r="S54" s="153"/>
    </row>
    <row r="55" spans="1:19" s="3" customFormat="1" ht="15" x14ac:dyDescent="0.25">
      <c r="A55" s="160"/>
      <c r="B55" s="1"/>
      <c r="C55" s="1"/>
      <c r="D55" s="1"/>
      <c r="E55" s="1"/>
      <c r="F55" s="1"/>
      <c r="G55" s="533" t="s">
        <v>192</v>
      </c>
      <c r="H55" s="534">
        <v>0.01</v>
      </c>
      <c r="I55" s="534">
        <f>G139</f>
        <v>0.30211884433292835</v>
      </c>
      <c r="J55" s="534">
        <v>0.01</v>
      </c>
      <c r="K55" s="534">
        <v>0.01</v>
      </c>
      <c r="L55" s="534">
        <v>0.01</v>
      </c>
      <c r="M55" s="534">
        <v>0.01</v>
      </c>
      <c r="N55" s="534">
        <v>0.01</v>
      </c>
      <c r="O55" s="534">
        <v>0.01</v>
      </c>
      <c r="P55" s="534">
        <v>0.01</v>
      </c>
      <c r="Q55" s="534">
        <v>0.01</v>
      </c>
      <c r="R55" s="534">
        <v>0.01</v>
      </c>
      <c r="S55" s="153"/>
    </row>
    <row r="56" spans="1:19" s="3" customFormat="1" ht="15" x14ac:dyDescent="0.25">
      <c r="A56" s="160"/>
      <c r="B56" s="1"/>
      <c r="C56" s="1"/>
      <c r="D56" s="1"/>
      <c r="E56" s="1"/>
      <c r="F56" s="1"/>
      <c r="G56" s="533" t="s">
        <v>180</v>
      </c>
      <c r="H56" s="534">
        <v>0.03</v>
      </c>
      <c r="I56" s="534">
        <f>$H$56</f>
        <v>0.03</v>
      </c>
      <c r="J56" s="534">
        <f t="shared" ref="J56:R56" si="46">$H$56</f>
        <v>0.03</v>
      </c>
      <c r="K56" s="534">
        <f t="shared" si="46"/>
        <v>0.03</v>
      </c>
      <c r="L56" s="534">
        <f t="shared" si="46"/>
        <v>0.03</v>
      </c>
      <c r="M56" s="534">
        <f t="shared" si="46"/>
        <v>0.03</v>
      </c>
      <c r="N56" s="534">
        <f t="shared" si="46"/>
        <v>0.03</v>
      </c>
      <c r="O56" s="534">
        <f t="shared" si="46"/>
        <v>0.03</v>
      </c>
      <c r="P56" s="534">
        <f t="shared" si="46"/>
        <v>0.03</v>
      </c>
      <c r="Q56" s="534">
        <f t="shared" si="46"/>
        <v>0.03</v>
      </c>
      <c r="R56" s="534">
        <f t="shared" si="46"/>
        <v>0.03</v>
      </c>
      <c r="S56" s="153"/>
    </row>
    <row r="57" spans="1:19" s="3" customFormat="1" ht="15" x14ac:dyDescent="0.25">
      <c r="A57" s="160"/>
      <c r="B57" s="1"/>
      <c r="C57" s="1"/>
      <c r="D57" s="1"/>
      <c r="E57" s="1"/>
      <c r="F57" s="1"/>
      <c r="G57" s="533" t="s">
        <v>78</v>
      </c>
      <c r="H57" s="534">
        <v>0.03</v>
      </c>
      <c r="I57" s="534">
        <f>$H$57</f>
        <v>0.03</v>
      </c>
      <c r="J57" s="534">
        <f t="shared" ref="J57:R57" si="47">$H$57</f>
        <v>0.03</v>
      </c>
      <c r="K57" s="534">
        <f t="shared" si="47"/>
        <v>0.03</v>
      </c>
      <c r="L57" s="534">
        <f t="shared" si="47"/>
        <v>0.03</v>
      </c>
      <c r="M57" s="534">
        <f t="shared" si="47"/>
        <v>0.03</v>
      </c>
      <c r="N57" s="534">
        <f t="shared" si="47"/>
        <v>0.03</v>
      </c>
      <c r="O57" s="534">
        <f t="shared" si="47"/>
        <v>0.03</v>
      </c>
      <c r="P57" s="534">
        <f t="shared" si="47"/>
        <v>0.03</v>
      </c>
      <c r="Q57" s="534">
        <f t="shared" si="47"/>
        <v>0.03</v>
      </c>
      <c r="R57" s="534">
        <f t="shared" si="47"/>
        <v>0.03</v>
      </c>
      <c r="S57" s="153"/>
    </row>
    <row r="58" spans="1:19" s="3" customFormat="1" ht="15" x14ac:dyDescent="0.2">
      <c r="A58" s="160"/>
      <c r="B58" s="179"/>
      <c r="C58" s="191"/>
      <c r="D58" s="191"/>
      <c r="E58" s="191"/>
      <c r="F58" s="217"/>
      <c r="G58" s="224"/>
      <c r="H58" s="225"/>
      <c r="I58" s="225"/>
      <c r="J58" s="223"/>
      <c r="K58" s="222"/>
      <c r="L58" s="222"/>
      <c r="M58" s="222"/>
      <c r="N58" s="222"/>
      <c r="O58" s="222"/>
      <c r="P58" s="222"/>
      <c r="Q58" s="222"/>
      <c r="R58" s="222"/>
      <c r="S58" s="153"/>
    </row>
    <row r="59" spans="1:19" s="3" customFormat="1" ht="15" x14ac:dyDescent="0.2">
      <c r="A59" s="160"/>
      <c r="B59" s="334" t="s">
        <v>119</v>
      </c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7"/>
      <c r="S59" s="153"/>
    </row>
    <row r="60" spans="1:19" s="3" customFormat="1" ht="15" x14ac:dyDescent="0.2">
      <c r="A60" s="153"/>
      <c r="B60" s="191"/>
      <c r="C60" s="191"/>
      <c r="D60" s="191"/>
      <c r="E60" s="191"/>
      <c r="F60" s="213"/>
      <c r="G60" s="213"/>
      <c r="H60" s="213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153"/>
    </row>
    <row r="61" spans="1:19" s="3" customFormat="1" ht="15" x14ac:dyDescent="0.2">
      <c r="A61" s="174"/>
      <c r="B61" s="228" t="s">
        <v>8</v>
      </c>
      <c r="C61" s="228"/>
      <c r="D61" s="228"/>
      <c r="E61" s="228"/>
      <c r="F61" s="224"/>
      <c r="G61" s="195"/>
      <c r="H61" s="229">
        <f t="shared" ref="H61:Q61" si="48">H42</f>
        <v>-966101.09970447794</v>
      </c>
      <c r="I61" s="229">
        <f t="shared" si="48"/>
        <v>233805.45596543583</v>
      </c>
      <c r="J61" s="229">
        <f t="shared" si="48"/>
        <v>551113.70963646495</v>
      </c>
      <c r="K61" s="229">
        <f t="shared" si="48"/>
        <v>570000.6397564729</v>
      </c>
      <c r="L61" s="229">
        <f t="shared" si="48"/>
        <v>589477.71296840429</v>
      </c>
      <c r="M61" s="229">
        <f t="shared" si="48"/>
        <v>579284.07918877772</v>
      </c>
      <c r="N61" s="229">
        <f t="shared" si="48"/>
        <v>555765.72448605241</v>
      </c>
      <c r="O61" s="229">
        <f t="shared" si="48"/>
        <v>651631.90655626601</v>
      </c>
      <c r="P61" s="229">
        <f t="shared" si="48"/>
        <v>673654.43569742108</v>
      </c>
      <c r="Q61" s="229">
        <f t="shared" si="48"/>
        <v>696362.37643227295</v>
      </c>
      <c r="R61" s="229"/>
      <c r="S61" s="153"/>
    </row>
    <row r="62" spans="1:19" s="3" customFormat="1" ht="15" x14ac:dyDescent="0.2">
      <c r="A62" s="174"/>
      <c r="B62" s="230" t="s">
        <v>62</v>
      </c>
      <c r="C62" s="228"/>
      <c r="D62" s="228"/>
      <c r="E62" s="230" t="str">
        <f>E93</f>
        <v>(Unadjusted for Tax)</v>
      </c>
      <c r="F62" s="224"/>
      <c r="G62" s="195"/>
      <c r="H62" s="231">
        <f t="shared" ref="H62:Q62" si="49">IF($G$65=H5,H95,0)</f>
        <v>0</v>
      </c>
      <c r="I62" s="231">
        <f t="shared" si="49"/>
        <v>0</v>
      </c>
      <c r="J62" s="231">
        <f t="shared" si="49"/>
        <v>0</v>
      </c>
      <c r="K62" s="231">
        <f t="shared" si="49"/>
        <v>0</v>
      </c>
      <c r="L62" s="231">
        <f t="shared" si="49"/>
        <v>0</v>
      </c>
      <c r="M62" s="231">
        <f t="shared" si="49"/>
        <v>0</v>
      </c>
      <c r="N62" s="231">
        <f t="shared" si="49"/>
        <v>0</v>
      </c>
      <c r="O62" s="231">
        <f t="shared" si="49"/>
        <v>0</v>
      </c>
      <c r="P62" s="231">
        <f t="shared" si="49"/>
        <v>0</v>
      </c>
      <c r="Q62" s="231">
        <f t="shared" si="49"/>
        <v>9188993.7625176385</v>
      </c>
      <c r="R62" s="231"/>
      <c r="S62" s="153"/>
    </row>
    <row r="63" spans="1:19" s="3" customFormat="1" ht="15" x14ac:dyDescent="0.2">
      <c r="A63" s="174"/>
      <c r="B63" s="228" t="s">
        <v>121</v>
      </c>
      <c r="C63" s="228"/>
      <c r="D63" s="228"/>
      <c r="E63" s="228"/>
      <c r="F63" s="224"/>
      <c r="G63" s="229">
        <f>-SUM('Investment Assumption Summary'!K38:K40)</f>
        <v>-6137098.1919999998</v>
      </c>
      <c r="H63" s="229">
        <f>SUM(H61:H62)</f>
        <v>-966101.09970447794</v>
      </c>
      <c r="I63" s="229">
        <f t="shared" ref="I63:Q63" si="50">SUM(I61:I62)</f>
        <v>233805.45596543583</v>
      </c>
      <c r="J63" s="229">
        <f t="shared" si="50"/>
        <v>551113.70963646495</v>
      </c>
      <c r="K63" s="229">
        <f t="shared" si="50"/>
        <v>570000.6397564729</v>
      </c>
      <c r="L63" s="229">
        <f t="shared" si="50"/>
        <v>589477.71296840429</v>
      </c>
      <c r="M63" s="229">
        <f t="shared" si="50"/>
        <v>579284.07918877772</v>
      </c>
      <c r="N63" s="229">
        <f t="shared" si="50"/>
        <v>555765.72448605241</v>
      </c>
      <c r="O63" s="229">
        <f t="shared" si="50"/>
        <v>651631.90655626601</v>
      </c>
      <c r="P63" s="229">
        <f t="shared" si="50"/>
        <v>673654.43569742108</v>
      </c>
      <c r="Q63" s="229">
        <f t="shared" si="50"/>
        <v>9885356.138949912</v>
      </c>
      <c r="R63" s="229"/>
      <c r="S63" s="153"/>
    </row>
    <row r="64" spans="1:19" s="3" customFormat="1" ht="15" x14ac:dyDescent="0.2">
      <c r="A64" s="174"/>
      <c r="B64" s="228"/>
      <c r="C64" s="228"/>
      <c r="D64" s="228"/>
      <c r="E64" s="228"/>
      <c r="F64" s="224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153"/>
    </row>
    <row r="65" spans="1:19" s="3" customFormat="1" ht="15" x14ac:dyDescent="0.2">
      <c r="A65" s="174"/>
      <c r="B65" s="230" t="s">
        <v>64</v>
      </c>
      <c r="C65" s="228"/>
      <c r="D65" s="228"/>
      <c r="E65" s="228"/>
      <c r="F65" s="224"/>
      <c r="G65" s="232">
        <f>G104</f>
        <v>10</v>
      </c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153"/>
    </row>
    <row r="66" spans="1:19" s="3" customFormat="1" ht="15" x14ac:dyDescent="0.2">
      <c r="A66" s="174"/>
      <c r="B66" s="179"/>
      <c r="C66" s="228"/>
      <c r="D66" s="228"/>
      <c r="E66" s="228"/>
      <c r="F66" s="224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153"/>
    </row>
    <row r="67" spans="1:19" s="3" customFormat="1" ht="15" x14ac:dyDescent="0.2">
      <c r="A67" s="174"/>
      <c r="B67" s="179" t="s">
        <v>59</v>
      </c>
      <c r="C67" s="228"/>
      <c r="D67" s="228"/>
      <c r="E67" s="228"/>
      <c r="F67" s="224"/>
      <c r="G67" s="233"/>
      <c r="H67" s="229" t="str">
        <f>IF(H5=$G$65,-$G$63,"")</f>
        <v/>
      </c>
      <c r="I67" s="229" t="str">
        <f>IF(I5=$G$65,-$G$63,"")</f>
        <v/>
      </c>
      <c r="J67" s="229" t="str">
        <f>IF(J5=$G$65,-$G$63,"")</f>
        <v/>
      </c>
      <c r="K67" s="237"/>
      <c r="L67" s="229" t="str">
        <f t="shared" ref="L67:Q67" si="51">IF(L5=$G$65,-$G$63,"")</f>
        <v/>
      </c>
      <c r="M67" s="229" t="str">
        <f t="shared" si="51"/>
        <v/>
      </c>
      <c r="N67" s="229" t="str">
        <f t="shared" si="51"/>
        <v/>
      </c>
      <c r="O67" s="229" t="str">
        <f t="shared" si="51"/>
        <v/>
      </c>
      <c r="P67" s="229" t="str">
        <f t="shared" si="51"/>
        <v/>
      </c>
      <c r="Q67" s="229">
        <f t="shared" si="51"/>
        <v>6137098.1919999998</v>
      </c>
      <c r="R67" s="229"/>
      <c r="S67" s="153"/>
    </row>
    <row r="68" spans="1:19" s="3" customFormat="1" ht="15" x14ac:dyDescent="0.2">
      <c r="A68" s="174"/>
      <c r="B68" s="191" t="s">
        <v>126</v>
      </c>
      <c r="C68" s="228"/>
      <c r="D68" s="228"/>
      <c r="E68" s="228"/>
      <c r="F68" s="224"/>
      <c r="G68" s="233"/>
      <c r="H68" s="229" t="str">
        <f>IF(H5=$G$65,SUM($G$63:H63),"")</f>
        <v/>
      </c>
      <c r="I68" s="229" t="str">
        <f>IF(I5=$G$65,SUM($G$63:I63),"")</f>
        <v/>
      </c>
      <c r="J68" s="229" t="str">
        <f>IF(J5=$G$65,SUM($G$63:J63),"")</f>
        <v/>
      </c>
      <c r="K68" s="229" t="str">
        <f>IF(K5=$G$65,SUM($G$63:K63),"")</f>
        <v/>
      </c>
      <c r="L68" s="229" t="str">
        <f>IF(L5=$G$65,SUM($G$63:L63),"")</f>
        <v/>
      </c>
      <c r="M68" s="229" t="str">
        <f>IF(M5=$G$65,SUM($G$63:M63),"")</f>
        <v/>
      </c>
      <c r="N68" s="229" t="str">
        <f>IF(N5=$G$65,SUM($G$63:N63),"")</f>
        <v/>
      </c>
      <c r="O68" s="229" t="str">
        <f>IF(O5=$G$65,SUM($G$63:O63),"")</f>
        <v/>
      </c>
      <c r="P68" s="229" t="str">
        <f>IF(P5=$G$65,SUM($G$63:P63),"")</f>
        <v/>
      </c>
      <c r="Q68" s="229">
        <f>IF(Q5=$G$65,SUM($G$63:Q63),"")</f>
        <v>7186890.5115007292</v>
      </c>
      <c r="R68" s="229"/>
      <c r="S68" s="153"/>
    </row>
    <row r="69" spans="1:19" s="3" customFormat="1" ht="15" x14ac:dyDescent="0.2">
      <c r="A69" s="174"/>
      <c r="B69" s="191" t="s">
        <v>124</v>
      </c>
      <c r="C69" s="228"/>
      <c r="D69" s="228"/>
      <c r="E69" s="228"/>
      <c r="F69" s="224"/>
      <c r="G69" s="229"/>
      <c r="H69" s="229" t="str">
        <f t="shared" ref="H69:Q69" si="52">IF(H5=$G$65,(H68+H67)/H67,"")</f>
        <v/>
      </c>
      <c r="I69" s="229" t="str">
        <f t="shared" si="52"/>
        <v/>
      </c>
      <c r="J69" s="229" t="str">
        <f t="shared" si="52"/>
        <v/>
      </c>
      <c r="K69" s="229" t="str">
        <f t="shared" si="52"/>
        <v/>
      </c>
      <c r="L69" s="229" t="str">
        <f t="shared" si="52"/>
        <v/>
      </c>
      <c r="M69" s="229" t="str">
        <f t="shared" si="52"/>
        <v/>
      </c>
      <c r="N69" s="229" t="str">
        <f t="shared" si="52"/>
        <v/>
      </c>
      <c r="O69" s="229" t="str">
        <f t="shared" si="52"/>
        <v/>
      </c>
      <c r="P69" s="229" t="str">
        <f t="shared" si="52"/>
        <v/>
      </c>
      <c r="Q69" s="445">
        <f t="shared" si="52"/>
        <v>2.1710567904664102</v>
      </c>
      <c r="R69" s="229"/>
      <c r="S69" s="176"/>
    </row>
    <row r="70" spans="1:19" s="3" customFormat="1" ht="15" x14ac:dyDescent="0.2">
      <c r="A70" s="174"/>
      <c r="B70" s="228" t="s">
        <v>122</v>
      </c>
      <c r="C70" s="228"/>
      <c r="D70" s="228"/>
      <c r="E70" s="228"/>
      <c r="F70" s="224"/>
      <c r="G70" s="229"/>
      <c r="H70" s="448" t="str">
        <f>IF(H5=$G$104,IRR($G$63:H63),"")</f>
        <v/>
      </c>
      <c r="I70" s="448" t="str">
        <f>IF(I5=$G$104,IRR($G$63:I63),"")</f>
        <v/>
      </c>
      <c r="J70" s="448" t="str">
        <f>IF(J5=$G$104,IRR($G$63:J63),"")</f>
        <v/>
      </c>
      <c r="K70" s="448" t="str">
        <f>IF(K5=$G$104,IRR($G$63:K63),"")</f>
        <v/>
      </c>
      <c r="L70" s="448" t="str">
        <f>IF(L5=$G$104,IRR($G$63:L63),"")</f>
        <v/>
      </c>
      <c r="M70" s="448" t="str">
        <f>IF(M5=$G$104,IRR($G$63:M63),"")</f>
        <v/>
      </c>
      <c r="N70" s="448" t="str">
        <f>IF(N5=$G$104,IRR($G$63:N63),"")</f>
        <v/>
      </c>
      <c r="O70" s="448" t="str">
        <f>IF(O5=$G$104,IRR($G$63:O63),"")</f>
        <v/>
      </c>
      <c r="P70" s="448" t="str">
        <f>IF(P5=$G$104,IRR($G$63:P63),"")</f>
        <v/>
      </c>
      <c r="Q70" s="448">
        <f>IF(Q5=$G$104,IRR($G$63:Q63),"")</f>
        <v>8.7068029914632694E-2</v>
      </c>
      <c r="R70" s="235"/>
      <c r="S70" s="153"/>
    </row>
    <row r="71" spans="1:19" s="3" customFormat="1" ht="15" x14ac:dyDescent="0.2">
      <c r="A71" s="174"/>
      <c r="B71" s="228"/>
      <c r="C71" s="228"/>
      <c r="D71" s="228"/>
      <c r="E71" s="228"/>
      <c r="F71" s="224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153"/>
    </row>
    <row r="72" spans="1:19" s="3" customFormat="1" ht="15" x14ac:dyDescent="0.2">
      <c r="A72" s="174"/>
      <c r="B72" s="230" t="s">
        <v>127</v>
      </c>
      <c r="C72" s="228"/>
      <c r="D72" s="228"/>
      <c r="E72" s="228"/>
      <c r="F72" s="224"/>
      <c r="G72" s="229"/>
      <c r="H72" s="235">
        <f t="shared" ref="H72:Q72" si="53">H36/-$G$63</f>
        <v>6.9607800893642741E-2</v>
      </c>
      <c r="I72" s="235">
        <f t="shared" si="53"/>
        <v>8.1895629345007659E-2</v>
      </c>
      <c r="J72" s="235">
        <f t="shared" si="53"/>
        <v>9.3272401422979392E-2</v>
      </c>
      <c r="K72" s="235">
        <f t="shared" si="53"/>
        <v>9.6454063961874587E-2</v>
      </c>
      <c r="L72" s="235">
        <f t="shared" si="53"/>
        <v>9.9735011281901015E-2</v>
      </c>
      <c r="M72" s="235">
        <f t="shared" si="53"/>
        <v>0.10311826027554234</v>
      </c>
      <c r="N72" s="235">
        <f t="shared" si="53"/>
        <v>0.10660691872554727</v>
      </c>
      <c r="O72" s="235">
        <f t="shared" si="53"/>
        <v>0.11020418803547222</v>
      </c>
      <c r="P72" s="235">
        <f t="shared" si="53"/>
        <v>0.11391336604217908</v>
      </c>
      <c r="Q72" s="235">
        <f t="shared" si="53"/>
        <v>0.11773784991274641</v>
      </c>
      <c r="R72" s="229"/>
      <c r="S72" s="153"/>
    </row>
    <row r="73" spans="1:19" s="3" customFormat="1" ht="15" x14ac:dyDescent="0.2">
      <c r="A73" s="174"/>
      <c r="B73" s="230" t="s">
        <v>128</v>
      </c>
      <c r="C73" s="228"/>
      <c r="D73" s="228"/>
      <c r="E73" s="228"/>
      <c r="F73" s="224"/>
      <c r="G73" s="229"/>
      <c r="H73" s="235">
        <f t="shared" ref="H73:Q73" si="54">H42/-$G$63</f>
        <v>-0.15741985372889045</v>
      </c>
      <c r="I73" s="235">
        <f t="shared" si="54"/>
        <v>3.8097069437509144E-2</v>
      </c>
      <c r="J73" s="235">
        <f t="shared" si="54"/>
        <v>8.9800373465568462E-2</v>
      </c>
      <c r="K73" s="235">
        <f t="shared" si="54"/>
        <v>9.287787516574135E-2</v>
      </c>
      <c r="L73" s="235">
        <f t="shared" si="54"/>
        <v>9.6051536821883776E-2</v>
      </c>
      <c r="M73" s="235">
        <f t="shared" si="54"/>
        <v>9.4390550886720714E-2</v>
      </c>
      <c r="N73" s="235">
        <f t="shared" si="54"/>
        <v>9.0558388850698127E-2</v>
      </c>
      <c r="O73" s="235">
        <f t="shared" si="54"/>
        <v>0.10617915603920094</v>
      </c>
      <c r="P73" s="235">
        <f t="shared" si="54"/>
        <v>0.10976758308601967</v>
      </c>
      <c r="Q73" s="235">
        <f t="shared" si="54"/>
        <v>0.11346769346790223</v>
      </c>
      <c r="R73" s="229"/>
      <c r="S73" s="153"/>
    </row>
    <row r="74" spans="1:19" s="3" customFormat="1" ht="15" x14ac:dyDescent="0.2">
      <c r="A74" s="174"/>
      <c r="B74" s="230"/>
      <c r="C74" s="228"/>
      <c r="D74" s="228"/>
      <c r="E74" s="228"/>
      <c r="F74" s="224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153"/>
    </row>
    <row r="75" spans="1:19" s="3" customFormat="1" ht="15" x14ac:dyDescent="0.2">
      <c r="A75" s="174"/>
      <c r="B75" s="334" t="s">
        <v>120</v>
      </c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7"/>
      <c r="S75" s="153"/>
    </row>
    <row r="76" spans="1:19" s="3" customFormat="1" ht="15" x14ac:dyDescent="0.2">
      <c r="A76" s="174"/>
      <c r="B76" s="228"/>
      <c r="C76" s="228"/>
      <c r="D76" s="228"/>
      <c r="E76" s="228"/>
      <c r="F76" s="224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153"/>
    </row>
    <row r="77" spans="1:19" s="3" customFormat="1" ht="15" x14ac:dyDescent="0.2">
      <c r="A77" s="174"/>
      <c r="B77" s="228" t="s">
        <v>8</v>
      </c>
      <c r="C77" s="228"/>
      <c r="D77" s="228"/>
      <c r="E77" s="228"/>
      <c r="F77" s="224"/>
      <c r="G77" s="229"/>
      <c r="H77" s="229">
        <f t="shared" ref="H77:Q77" si="55">H61</f>
        <v>-966101.09970447794</v>
      </c>
      <c r="I77" s="229">
        <f t="shared" si="55"/>
        <v>233805.45596543583</v>
      </c>
      <c r="J77" s="229">
        <f t="shared" si="55"/>
        <v>551113.70963646495</v>
      </c>
      <c r="K77" s="229">
        <f t="shared" si="55"/>
        <v>570000.6397564729</v>
      </c>
      <c r="L77" s="229">
        <f t="shared" si="55"/>
        <v>589477.71296840429</v>
      </c>
      <c r="M77" s="229">
        <f t="shared" si="55"/>
        <v>579284.07918877772</v>
      </c>
      <c r="N77" s="229">
        <f t="shared" si="55"/>
        <v>555765.72448605241</v>
      </c>
      <c r="O77" s="229">
        <f t="shared" si="55"/>
        <v>651631.90655626601</v>
      </c>
      <c r="P77" s="229">
        <f t="shared" si="55"/>
        <v>673654.43569742108</v>
      </c>
      <c r="Q77" s="229">
        <f t="shared" si="55"/>
        <v>696362.37643227295</v>
      </c>
      <c r="R77" s="229"/>
      <c r="S77" s="153"/>
    </row>
    <row r="78" spans="1:19" s="3" customFormat="1" ht="15" x14ac:dyDescent="0.2">
      <c r="A78" s="174"/>
      <c r="B78" s="228"/>
      <c r="C78" s="228"/>
      <c r="D78" s="228"/>
      <c r="E78" s="228"/>
      <c r="F78" s="224"/>
      <c r="G78" s="236"/>
      <c r="H78" s="237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153"/>
    </row>
    <row r="79" spans="1:19" s="3" customFormat="1" ht="15" x14ac:dyDescent="0.2">
      <c r="A79" s="174"/>
      <c r="B79" s="238" t="s">
        <v>115</v>
      </c>
      <c r="C79" s="228"/>
      <c r="D79" s="228"/>
      <c r="E79" s="228"/>
      <c r="F79" s="224"/>
      <c r="G79" s="239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153"/>
    </row>
    <row r="80" spans="1:19" s="3" customFormat="1" ht="15" customHeight="1" x14ac:dyDescent="0.2">
      <c r="A80" s="175"/>
      <c r="B80" s="240" t="s">
        <v>50</v>
      </c>
      <c r="C80" s="230"/>
      <c r="D80" s="230"/>
      <c r="E80" s="241"/>
      <c r="F80" s="242"/>
      <c r="G80" s="242"/>
      <c r="H80" s="243">
        <f>-SUMIFS('Debt Schedule'!$E$15:$E$374,'Debt Schedule'!$C$15:$C$374,"&lt;="&amp;'Operating Statement'!H4,'Debt Schedule'!$C$15:$C$374,"&gt;"&amp;'Operating Statement'!G4)</f>
        <v>0</v>
      </c>
      <c r="I80" s="243">
        <f>-SUMIFS('Debt Schedule'!$E$15:$E$374,'Debt Schedule'!$C$15:$C$374,"&lt;="&amp;'Operating Statement'!I4,'Debt Schedule'!$C$15:$C$374,"&gt;"&amp;'Operating Statement'!H4)</f>
        <v>0</v>
      </c>
      <c r="J80" s="243">
        <f>-SUMIFS('Debt Schedule'!$E$15:$E$374,'Debt Schedule'!$C$15:$C$374,"&lt;="&amp;'Operating Statement'!J4,'Debt Schedule'!$C$15:$C$374,"&gt;"&amp;'Operating Statement'!I4)</f>
        <v>0</v>
      </c>
      <c r="K80" s="243">
        <f>-SUMIFS('Debt Schedule'!$E$15:$E$374,'Debt Schedule'!$C$15:$C$374,"&lt;="&amp;'Operating Statement'!K4,'Debt Schedule'!$C$15:$C$374,"&gt;"&amp;'Operating Statement'!J4)</f>
        <v>0</v>
      </c>
      <c r="L80" s="243">
        <f>-SUMIFS('Debt Schedule'!$E$15:$E$374,'Debt Schedule'!$C$15:$C$374,"&lt;="&amp;'Operating Statement'!L4,'Debt Schedule'!$C$15:$C$374,"&gt;"&amp;'Operating Statement'!K4)</f>
        <v>0</v>
      </c>
      <c r="M80" s="243">
        <f>-SUMIFS('Debt Schedule'!$E$15:$E$374,'Debt Schedule'!$C$15:$C$374,"&lt;="&amp;'Operating Statement'!M4,'Debt Schedule'!$C$15:$C$374,"&gt;"&amp;'Operating Statement'!L4)</f>
        <v>0</v>
      </c>
      <c r="N80" s="243">
        <f>-SUMIFS('Debt Schedule'!$E$15:$E$374,'Debt Schedule'!$C$15:$C$374,"&lt;="&amp;'Operating Statement'!N4,'Debt Schedule'!$C$15:$C$374,"&gt;"&amp;'Operating Statement'!M4)</f>
        <v>0</v>
      </c>
      <c r="O80" s="243">
        <f>-SUMIFS('Debt Schedule'!$E$15:$E$374,'Debt Schedule'!$C$15:$C$374,"&lt;="&amp;'Operating Statement'!O4,'Debt Schedule'!$C$15:$C$374,"&gt;"&amp;'Operating Statement'!N4)</f>
        <v>0</v>
      </c>
      <c r="P80" s="243">
        <f>-SUMIFS('Debt Schedule'!$E$15:$E$374,'Debt Schedule'!$C$15:$C$374,"&lt;="&amp;'Operating Statement'!P4,'Debt Schedule'!$C$15:$C$374,"&gt;"&amp;'Operating Statement'!O4)</f>
        <v>0</v>
      </c>
      <c r="Q80" s="243">
        <f>-SUMIFS('Debt Schedule'!$E$15:$E$374,'Debt Schedule'!$C$15:$C$374,"&lt;="&amp;'Operating Statement'!Q4,'Debt Schedule'!$C$15:$C$374,"&gt;"&amp;'Operating Statement'!P4)</f>
        <v>0</v>
      </c>
      <c r="R80" s="243"/>
      <c r="S80" s="153"/>
    </row>
    <row r="81" spans="1:21" s="3" customFormat="1" ht="15" x14ac:dyDescent="0.2">
      <c r="A81" s="175"/>
      <c r="B81" s="244" t="s">
        <v>91</v>
      </c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53"/>
    </row>
    <row r="82" spans="1:21" s="3" customFormat="1" ht="15" x14ac:dyDescent="0.2">
      <c r="A82" s="153"/>
      <c r="B82" s="240" t="s">
        <v>49</v>
      </c>
      <c r="C82" s="228"/>
      <c r="D82" s="228"/>
      <c r="E82" s="228"/>
      <c r="F82" s="224"/>
      <c r="G82" s="242"/>
      <c r="H82" s="216">
        <f>-SUMIFS('Debt Schedule'!$N$15:$N$374,'Debt Schedule'!$K$15:$K$374,"&lt;="&amp;H$4,'Debt Schedule'!$K$15:$K$374,"&gt;"&amp;G$4)</f>
        <v>0</v>
      </c>
      <c r="I82" s="216">
        <f>-SUMIFS('Debt Schedule'!$N$15:$N$374,'Debt Schedule'!$K$15:$K$374,"&lt;="&amp;I$4,'Debt Schedule'!$K$15:$K$374,"&gt;"&amp;H$4)</f>
        <v>-43913.942789539586</v>
      </c>
      <c r="J82" s="216">
        <f>-SUMIFS('Debt Schedule'!$N$15:$N$374,'Debt Schedule'!$K$15:$K$374,"&lt;="&amp;J$4,'Debt Schedule'!$K$15:$K$374,"&gt;"&amp;I$4)</f>
        <v>-46854.940866888814</v>
      </c>
      <c r="K82" s="216">
        <f>-SUMIFS('Debt Schedule'!$N$15:$N$374,'Debt Schedule'!$K$15:$K$374,"&lt;="&amp;K$4,'Debt Schedule'!$K$15:$K$374,"&gt;"&amp;J$4)</f>
        <v>-49992.90303221401</v>
      </c>
      <c r="L82" s="216">
        <f>-SUMIFS('Debt Schedule'!$N$15:$N$374,'Debt Schedule'!$K$15:$K$374,"&lt;="&amp;L$4,'Debt Schedule'!$K$15:$K$374,"&gt;"&amp;K$4)</f>
        <v>-53341.020335264926</v>
      </c>
      <c r="M82" s="216">
        <f>-SUMIFS('Debt Schedule'!$N$15:$N$374,'Debt Schedule'!$K$15:$K$374,"&lt;="&amp;M$4,'Debt Schedule'!$K$15:$K$374,"&gt;"&amp;L$4)</f>
        <v>-56913.367254822966</v>
      </c>
      <c r="N82" s="216">
        <f>-SUMIFS('Debt Schedule'!$N$15:$N$374,'Debt Schedule'!$K$15:$K$374,"&lt;="&amp;N$4,'Debt Schedule'!$K$15:$K$374,"&gt;"&amp;M$4)</f>
        <v>-60724.960863579363</v>
      </c>
      <c r="O82" s="216">
        <f>-SUMIFS('Debt Schedule'!$N$15:$N$374,'Debt Schedule'!$K$15:$K$374,"&lt;="&amp;O$4,'Debt Schedule'!$K$15:$K$374,"&gt;"&amp;N$4)</f>
        <v>-64791.823955395244</v>
      </c>
      <c r="P82" s="216">
        <f>-SUMIFS('Debt Schedule'!$N$15:$N$374,'Debt Schedule'!$K$15:$K$374,"&lt;="&amp;P$4,'Debt Schedule'!$K$15:$K$374,"&gt;"&amp;O$4)</f>
        <v>-69131.052400310859</v>
      </c>
      <c r="Q82" s="216">
        <f>-SUMIFS('Debt Schedule'!$N$15:$N$374,'Debt Schedule'!$K$15:$K$374,"&lt;="&amp;Q$4,'Debt Schedule'!$K$15:$K$374,"&gt;"&amp;P$4)</f>
        <v>-73760.887010444538</v>
      </c>
      <c r="R82" s="216"/>
      <c r="S82" s="153"/>
      <c r="T82" s="274"/>
      <c r="U82" s="342"/>
    </row>
    <row r="83" spans="1:21" s="3" customFormat="1" ht="15" x14ac:dyDescent="0.2">
      <c r="A83" s="177"/>
      <c r="B83" s="240" t="s">
        <v>50</v>
      </c>
      <c r="C83" s="230"/>
      <c r="D83" s="230"/>
      <c r="E83" s="230"/>
      <c r="F83" s="242"/>
      <c r="G83" s="242"/>
      <c r="H83" s="216">
        <f>-SUMIFS('Debt Schedule'!$M$15:$M$374,'Debt Schedule'!$K$15:$K$374,"&lt;="&amp;H$4,'Debt Schedule'!$K$15:$K$374,"&gt;"&amp;G$4)</f>
        <v>0</v>
      </c>
      <c r="I83" s="216">
        <f>-SUMIFS('Debt Schedule'!$M$15:$M$374,'Debt Schedule'!$K$15:$K$374,"&lt;="&amp;I$4,'Debt Schedule'!$K$15:$K$374,"&gt;"&amp;H$4)</f>
        <v>-235378.63095283741</v>
      </c>
      <c r="J83" s="216">
        <f>-SUMIFS('Debt Schedule'!$M$15:$M$374,'Debt Schedule'!$K$15:$K$374,"&lt;="&amp;J$4,'Debt Schedule'!$K$15:$K$374,"&gt;"&amp;I$4)</f>
        <v>-232437.63287548823</v>
      </c>
      <c r="K83" s="216">
        <f>-SUMIFS('Debt Schedule'!$M$15:$M$374,'Debt Schedule'!$K$15:$K$374,"&lt;="&amp;K$4,'Debt Schedule'!$K$15:$K$374,"&gt;"&amp;J$4)</f>
        <v>-229299.67071016299</v>
      </c>
      <c r="L83" s="216">
        <f>-SUMIFS('Debt Schedule'!$M$15:$M$374,'Debt Schedule'!$K$15:$K$374,"&lt;="&amp;L$4,'Debt Schedule'!$K$15:$K$374,"&gt;"&amp;K$4)</f>
        <v>-225951.55340711208</v>
      </c>
      <c r="M83" s="216">
        <f>-SUMIFS('Debt Schedule'!$M$15:$M$374,'Debt Schedule'!$K$15:$K$374,"&lt;="&amp;M$4,'Debt Schedule'!$K$15:$K$374,"&gt;"&amp;L$4)</f>
        <v>-222379.20648755404</v>
      </c>
      <c r="N83" s="216">
        <f>-SUMIFS('Debt Schedule'!$M$15:$M$374,'Debt Schedule'!$K$15:$K$374,"&lt;="&amp;N$4,'Debt Schedule'!$K$15:$K$374,"&gt;"&amp;M$4)</f>
        <v>-218567.6128787976</v>
      </c>
      <c r="O83" s="216">
        <f>-SUMIFS('Debt Schedule'!$M$15:$M$374,'Debt Schedule'!$K$15:$K$374,"&lt;="&amp;O$4,'Debt Schedule'!$K$15:$K$374,"&gt;"&amp;N$4)</f>
        <v>-214500.74978698176</v>
      </c>
      <c r="P83" s="216">
        <f>-SUMIFS('Debt Schedule'!$M$15:$M$374,'Debt Schedule'!$K$15:$K$374,"&lt;="&amp;P$4,'Debt Schedule'!$K$15:$K$374,"&gt;"&amp;O$4)</f>
        <v>-210161.52134206617</v>
      </c>
      <c r="Q83" s="216">
        <f>-SUMIFS('Debt Schedule'!$M$15:$M$374,'Debt Schedule'!$K$15:$K$374,"&lt;="&amp;Q$4,'Debt Schedule'!$K$15:$K$374,"&gt;"&amp;P$4)</f>
        <v>-205531.68673193245</v>
      </c>
      <c r="R83" s="216"/>
      <c r="S83" s="153"/>
    </row>
    <row r="84" spans="1:21" s="3" customFormat="1" ht="15" x14ac:dyDescent="0.2">
      <c r="A84" s="153"/>
      <c r="B84" s="228" t="s">
        <v>65</v>
      </c>
      <c r="C84" s="230"/>
      <c r="D84" s="230"/>
      <c r="E84" s="230"/>
      <c r="F84" s="245"/>
      <c r="G84" s="245"/>
      <c r="H84" s="229">
        <f t="shared" ref="H84:Q84" si="56">SUM(H77:H83)</f>
        <v>-966101.09970447794</v>
      </c>
      <c r="I84" s="229">
        <f t="shared" si="56"/>
        <v>-45487.117776941159</v>
      </c>
      <c r="J84" s="229">
        <f t="shared" si="56"/>
        <v>271821.13589408796</v>
      </c>
      <c r="K84" s="229">
        <f t="shared" si="56"/>
        <v>290708.06601409591</v>
      </c>
      <c r="L84" s="229">
        <f t="shared" si="56"/>
        <v>310185.13922602724</v>
      </c>
      <c r="M84" s="229">
        <f t="shared" si="56"/>
        <v>299991.50544640073</v>
      </c>
      <c r="N84" s="229">
        <f t="shared" si="56"/>
        <v>276473.15074367542</v>
      </c>
      <c r="O84" s="229">
        <f t="shared" si="56"/>
        <v>372339.33281388902</v>
      </c>
      <c r="P84" s="229">
        <f t="shared" si="56"/>
        <v>394361.86195504403</v>
      </c>
      <c r="Q84" s="229">
        <f t="shared" si="56"/>
        <v>417069.80268989597</v>
      </c>
      <c r="R84" s="229"/>
      <c r="S84" s="153"/>
    </row>
    <row r="85" spans="1:21" s="3" customFormat="1" ht="15" x14ac:dyDescent="0.25">
      <c r="A85" s="15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21" s="3" customFormat="1" ht="15" x14ac:dyDescent="0.2">
      <c r="A86" s="153"/>
      <c r="B86" s="228"/>
      <c r="C86" s="230"/>
      <c r="D86" s="230"/>
      <c r="E86" s="230"/>
      <c r="F86" s="246"/>
      <c r="G86" s="246"/>
      <c r="H86" s="246"/>
      <c r="I86" s="247"/>
      <c r="J86" s="248"/>
      <c r="K86" s="248"/>
      <c r="L86" s="247"/>
      <c r="M86" s="247"/>
      <c r="N86" s="247"/>
      <c r="O86" s="247"/>
      <c r="P86" s="247"/>
      <c r="Q86" s="247"/>
      <c r="R86" s="247"/>
      <c r="S86" s="153"/>
    </row>
    <row r="87" spans="1:21" s="3" customFormat="1" ht="15" x14ac:dyDescent="0.2">
      <c r="A87" s="175"/>
      <c r="B87" s="230" t="s">
        <v>80</v>
      </c>
      <c r="C87" s="230"/>
      <c r="D87" s="230"/>
      <c r="E87" s="230"/>
      <c r="F87" s="246"/>
      <c r="G87" s="246"/>
      <c r="H87" s="179" t="e">
        <f>H61/-(H82+H83+H80)</f>
        <v>#DIV/0!</v>
      </c>
      <c r="I87" s="732">
        <f t="shared" ref="I87:Q87" si="57">I61/-(I82+I83+I80)</f>
        <v>0.83713452467626637</v>
      </c>
      <c r="J87" s="732">
        <f t="shared" si="57"/>
        <v>1.9732487056559518</v>
      </c>
      <c r="K87" s="732">
        <f t="shared" si="57"/>
        <v>2.0408728815047144</v>
      </c>
      <c r="L87" s="732">
        <f t="shared" si="57"/>
        <v>2.1106100497757811</v>
      </c>
      <c r="M87" s="732">
        <f t="shared" si="57"/>
        <v>2.0741120017144339</v>
      </c>
      <c r="N87" s="732">
        <f t="shared" si="57"/>
        <v>1.9899051272258237</v>
      </c>
      <c r="O87" s="732">
        <f t="shared" si="57"/>
        <v>2.3331515687106652</v>
      </c>
      <c r="P87" s="732">
        <f t="shared" si="57"/>
        <v>2.4120026775893022</v>
      </c>
      <c r="Q87" s="732">
        <f t="shared" si="57"/>
        <v>2.493307885352535</v>
      </c>
      <c r="R87" s="249"/>
      <c r="S87" s="153"/>
    </row>
    <row r="88" spans="1:21" s="3" customFormat="1" ht="15" x14ac:dyDescent="0.2">
      <c r="A88" s="175"/>
      <c r="B88" s="334" t="s">
        <v>67</v>
      </c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7"/>
      <c r="S88" s="153"/>
    </row>
    <row r="89" spans="1:21" s="3" customFormat="1" ht="15" x14ac:dyDescent="0.2">
      <c r="A89" s="175"/>
      <c r="B89" s="333" t="s">
        <v>153</v>
      </c>
      <c r="C89" s="255"/>
      <c r="D89" s="255"/>
      <c r="E89" s="335" t="s">
        <v>112</v>
      </c>
      <c r="F89" s="341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153"/>
    </row>
    <row r="90" spans="1:21" s="3" customFormat="1" ht="15" x14ac:dyDescent="0.2">
      <c r="A90" s="175"/>
      <c r="B90" s="333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153"/>
    </row>
    <row r="91" spans="1:21" s="3" customFormat="1" ht="15" x14ac:dyDescent="0.2">
      <c r="A91" s="175"/>
      <c r="B91" s="230" t="s">
        <v>55</v>
      </c>
      <c r="C91" s="230"/>
      <c r="D91" s="230"/>
      <c r="E91" s="230"/>
      <c r="F91" s="246"/>
      <c r="G91" s="246"/>
      <c r="H91" s="250">
        <f>'Investment Assumption Summary'!$F$59</f>
        <v>0.08</v>
      </c>
      <c r="I91" s="250">
        <f>'Investment Assumption Summary'!$F$59</f>
        <v>0.08</v>
      </c>
      <c r="J91" s="250">
        <f>'Investment Assumption Summary'!$F$59</f>
        <v>0.08</v>
      </c>
      <c r="K91" s="250">
        <f>'Investment Assumption Summary'!$F$59</f>
        <v>0.08</v>
      </c>
      <c r="L91" s="250">
        <f>'Investment Assumption Summary'!$F$59</f>
        <v>0.08</v>
      </c>
      <c r="M91" s="250">
        <f>'Investment Assumption Summary'!$F$59</f>
        <v>0.08</v>
      </c>
      <c r="N91" s="250">
        <f>'Investment Assumption Summary'!$F$59</f>
        <v>0.08</v>
      </c>
      <c r="O91" s="250">
        <f>'Investment Assumption Summary'!$F$59</f>
        <v>0.08</v>
      </c>
      <c r="P91" s="250">
        <f>'Investment Assumption Summary'!$F$59</f>
        <v>0.08</v>
      </c>
      <c r="Q91" s="250">
        <f>'Investment Assumption Summary'!$F$59</f>
        <v>0.08</v>
      </c>
      <c r="R91" s="251"/>
      <c r="S91" s="153"/>
    </row>
    <row r="92" spans="1:21" s="3" customFormat="1" ht="15" x14ac:dyDescent="0.2">
      <c r="A92" s="153"/>
      <c r="B92" s="230" t="s">
        <v>56</v>
      </c>
      <c r="C92" s="230"/>
      <c r="D92" s="230"/>
      <c r="E92" s="230"/>
      <c r="F92" s="246"/>
      <c r="G92" s="246"/>
      <c r="H92" s="252">
        <f>'Investment Assumption Summary'!F63+'Investment Assumption Summary'!F64+'Investment Assumption Summary'!F65</f>
        <v>1.5599999999999999E-2</v>
      </c>
      <c r="I92" s="253">
        <f>H92</f>
        <v>1.5599999999999999E-2</v>
      </c>
      <c r="J92" s="252">
        <f t="shared" ref="J92:Q92" si="58">$I$92</f>
        <v>1.5599999999999999E-2</v>
      </c>
      <c r="K92" s="252">
        <f t="shared" si="58"/>
        <v>1.5599999999999999E-2</v>
      </c>
      <c r="L92" s="253">
        <f t="shared" si="58"/>
        <v>1.5599999999999999E-2</v>
      </c>
      <c r="M92" s="253">
        <f t="shared" si="58"/>
        <v>1.5599999999999999E-2</v>
      </c>
      <c r="N92" s="253">
        <f t="shared" si="58"/>
        <v>1.5599999999999999E-2</v>
      </c>
      <c r="O92" s="253">
        <f t="shared" si="58"/>
        <v>1.5599999999999999E-2</v>
      </c>
      <c r="P92" s="253">
        <f t="shared" si="58"/>
        <v>1.5599999999999999E-2</v>
      </c>
      <c r="Q92" s="253">
        <f t="shared" si="58"/>
        <v>1.5599999999999999E-2</v>
      </c>
      <c r="R92" s="254"/>
      <c r="S92" s="153"/>
    </row>
    <row r="93" spans="1:21" s="3" customFormat="1" ht="15" x14ac:dyDescent="0.25">
      <c r="A93" s="153"/>
      <c r="B93" s="1" t="s">
        <v>51</v>
      </c>
      <c r="C93" s="230"/>
      <c r="D93" s="230"/>
      <c r="E93" s="255" t="str">
        <f>IF(E89="YES", "(Tax Adjusted)", "(Unadjusted for Tax)")</f>
        <v>(Unadjusted for Tax)</v>
      </c>
      <c r="F93" s="179"/>
      <c r="G93" s="246"/>
      <c r="H93" s="198">
        <f t="shared" ref="H93:Q93" si="59">IF($E$89="YES",H124,I36/H91)</f>
        <v>6282518.9848243576</v>
      </c>
      <c r="I93" s="198">
        <f t="shared" si="59"/>
        <v>7155273.5767058125</v>
      </c>
      <c r="J93" s="198">
        <f t="shared" si="59"/>
        <v>7399350.7693934105</v>
      </c>
      <c r="K93" s="198">
        <f t="shared" si="59"/>
        <v>7651044.4677156787</v>
      </c>
      <c r="L93" s="198">
        <f t="shared" si="59"/>
        <v>7910586.108740204</v>
      </c>
      <c r="M93" s="198">
        <f t="shared" si="59"/>
        <v>8178214.1020655874</v>
      </c>
      <c r="N93" s="198">
        <f t="shared" si="59"/>
        <v>8454174.0392915569</v>
      </c>
      <c r="O93" s="198">
        <f t="shared" si="59"/>
        <v>8738718.9097761419</v>
      </c>
      <c r="P93" s="198">
        <f t="shared" si="59"/>
        <v>9032109.3228685427</v>
      </c>
      <c r="Q93" s="198">
        <f t="shared" si="59"/>
        <v>9334613.7368119042</v>
      </c>
      <c r="R93" s="247"/>
      <c r="S93" s="153"/>
    </row>
    <row r="94" spans="1:21" s="3" customFormat="1" ht="15" x14ac:dyDescent="0.2">
      <c r="A94" s="153"/>
      <c r="B94" s="230" t="s">
        <v>52</v>
      </c>
      <c r="C94" s="230"/>
      <c r="D94" s="230"/>
      <c r="E94" s="230"/>
      <c r="F94" s="246"/>
      <c r="G94" s="246"/>
      <c r="H94" s="200">
        <f t="shared" ref="H94:Q94" si="60">H93*-H92</f>
        <v>-98007.296163259976</v>
      </c>
      <c r="I94" s="200">
        <f t="shared" si="60"/>
        <v>-111622.26779661067</v>
      </c>
      <c r="J94" s="200">
        <f t="shared" si="60"/>
        <v>-115429.8720025372</v>
      </c>
      <c r="K94" s="200">
        <f t="shared" si="60"/>
        <v>-119356.29369636458</v>
      </c>
      <c r="L94" s="200">
        <f t="shared" si="60"/>
        <v>-123405.14329634717</v>
      </c>
      <c r="M94" s="200">
        <f t="shared" si="60"/>
        <v>-127580.13999222316</v>
      </c>
      <c r="N94" s="200">
        <f t="shared" si="60"/>
        <v>-131885.11501294828</v>
      </c>
      <c r="O94" s="200">
        <f t="shared" si="60"/>
        <v>-136324.01499250781</v>
      </c>
      <c r="P94" s="200">
        <f t="shared" si="60"/>
        <v>-140900.90543674925</v>
      </c>
      <c r="Q94" s="200">
        <f t="shared" si="60"/>
        <v>-145619.9742942657</v>
      </c>
      <c r="R94" s="247"/>
      <c r="S94" s="153"/>
    </row>
    <row r="95" spans="1:21" s="3" customFormat="1" ht="15" x14ac:dyDescent="0.2">
      <c r="A95" s="153"/>
      <c r="B95" s="230" t="s">
        <v>53</v>
      </c>
      <c r="C95" s="230"/>
      <c r="D95" s="230"/>
      <c r="E95" s="230"/>
      <c r="F95" s="246"/>
      <c r="G95" s="246"/>
      <c r="H95" s="199">
        <f t="shared" ref="H95:Q95" si="61">SUM(H93:H94)</f>
        <v>6184511.6886610975</v>
      </c>
      <c r="I95" s="199">
        <f t="shared" si="61"/>
        <v>7043651.308909202</v>
      </c>
      <c r="J95" s="199">
        <f t="shared" si="61"/>
        <v>7283920.8973908732</v>
      </c>
      <c r="K95" s="199">
        <f t="shared" si="61"/>
        <v>7531688.1740193143</v>
      </c>
      <c r="L95" s="256">
        <f t="shared" si="61"/>
        <v>7787180.965443857</v>
      </c>
      <c r="M95" s="256">
        <f t="shared" si="61"/>
        <v>8050633.9620733643</v>
      </c>
      <c r="N95" s="256">
        <f t="shared" si="61"/>
        <v>8322288.9242786085</v>
      </c>
      <c r="O95" s="256">
        <f t="shared" si="61"/>
        <v>8602394.8947836347</v>
      </c>
      <c r="P95" s="256">
        <f t="shared" si="61"/>
        <v>8891208.4174317941</v>
      </c>
      <c r="Q95" s="256">
        <f t="shared" si="61"/>
        <v>9188993.7625176385</v>
      </c>
      <c r="R95" s="247"/>
      <c r="S95" s="153"/>
    </row>
    <row r="96" spans="1:21" s="3" customFormat="1" ht="15" x14ac:dyDescent="0.2">
      <c r="A96" s="153"/>
      <c r="B96" s="178" t="s">
        <v>61</v>
      </c>
      <c r="C96" s="230"/>
      <c r="D96" s="230"/>
      <c r="E96" s="230"/>
      <c r="F96" s="246"/>
      <c r="G96" s="246"/>
      <c r="H96" s="231">
        <f>-INDEX('Debt Schedule'!$O$15:$O$374,MATCH(H$4,'Debt Schedule'!$K$15:$K$374,0))</f>
        <v>-3641101.3694717605</v>
      </c>
      <c r="I96" s="231">
        <f>-INDEX('Debt Schedule'!$O$15:$O$374,MATCH(I$4,'Debt Schedule'!$K$15:$K$374,0))</f>
        <v>-3597187.4266822212</v>
      </c>
      <c r="J96" s="231">
        <f>-INDEX('Debt Schedule'!$O$15:$O$374,MATCH(J$4,'Debt Schedule'!$K$15:$K$374,0))</f>
        <v>-3550332.4858153323</v>
      </c>
      <c r="K96" s="231">
        <f>-INDEX('Debt Schedule'!$O$15:$O$374,MATCH(K$4,'Debt Schedule'!$K$15:$K$374,0))</f>
        <v>-3500339.5827831188</v>
      </c>
      <c r="L96" s="231">
        <f>-INDEX('Debt Schedule'!$O$15:$O$374,MATCH(L$4,'Debt Schedule'!$K$15:$K$374,0))</f>
        <v>-3446998.5624478543</v>
      </c>
      <c r="M96" s="231">
        <f>-INDEX('Debt Schedule'!$O$15:$O$374,MATCH(M$4,'Debt Schedule'!$K$15:$K$374,0))</f>
        <v>-3390085.1951930318</v>
      </c>
      <c r="N96" s="231">
        <f>-INDEX('Debt Schedule'!$O$15:$O$374,MATCH(N$4,'Debt Schedule'!$K$15:$K$374,0))</f>
        <v>-3329360.2343294523</v>
      </c>
      <c r="O96" s="231">
        <f>-INDEX('Debt Schedule'!$O$15:$O$374,MATCH(O$4,'Debt Schedule'!$K$15:$K$374,0))</f>
        <v>-3264568.4103740575</v>
      </c>
      <c r="P96" s="231">
        <f>-INDEX('Debt Schedule'!$O$15:$O$374,MATCH(P$4,'Debt Schedule'!$K$15:$K$374,0))</f>
        <v>-3195437.357973747</v>
      </c>
      <c r="Q96" s="231">
        <f>-INDEX('Debt Schedule'!$O$15:$O$374,MATCH(Q$4,'Debt Schedule'!$K$15:$K$374,0))</f>
        <v>-3121676.4709633025</v>
      </c>
      <c r="R96" s="257"/>
      <c r="S96" s="153"/>
    </row>
    <row r="97" spans="1:19" s="3" customFormat="1" ht="15" x14ac:dyDescent="0.2">
      <c r="A97" s="175"/>
      <c r="B97" s="230" t="s">
        <v>54</v>
      </c>
      <c r="C97" s="230"/>
      <c r="D97" s="230"/>
      <c r="E97" s="230"/>
      <c r="F97" s="246"/>
      <c r="G97" s="246"/>
      <c r="H97" s="443">
        <f t="shared" ref="H97:Q97" si="62">H95+H96</f>
        <v>2543410.3191893371</v>
      </c>
      <c r="I97" s="443">
        <f t="shared" si="62"/>
        <v>3446463.8822269808</v>
      </c>
      <c r="J97" s="443">
        <f t="shared" si="62"/>
        <v>3733588.4115755409</v>
      </c>
      <c r="K97" s="443">
        <f t="shared" si="62"/>
        <v>4031348.5912361955</v>
      </c>
      <c r="L97" s="444">
        <f t="shared" si="62"/>
        <v>4340182.4029960027</v>
      </c>
      <c r="M97" s="444">
        <f t="shared" si="62"/>
        <v>4660548.7668803325</v>
      </c>
      <c r="N97" s="444">
        <f t="shared" si="62"/>
        <v>4992928.6899491567</v>
      </c>
      <c r="O97" s="444">
        <f t="shared" si="62"/>
        <v>5337826.4844095772</v>
      </c>
      <c r="P97" s="444">
        <f t="shared" si="62"/>
        <v>5695771.0594580472</v>
      </c>
      <c r="Q97" s="444">
        <f t="shared" si="62"/>
        <v>6067317.2915543355</v>
      </c>
      <c r="R97" s="247"/>
      <c r="S97" s="153"/>
    </row>
    <row r="98" spans="1:19" s="3" customFormat="1" ht="15" x14ac:dyDescent="0.2">
      <c r="A98" s="175"/>
      <c r="B98" s="230"/>
      <c r="C98" s="230"/>
      <c r="D98" s="230"/>
      <c r="E98" s="230"/>
      <c r="F98" s="246"/>
      <c r="G98" s="246"/>
      <c r="H98" s="248"/>
      <c r="I98" s="248"/>
      <c r="J98" s="248"/>
      <c r="K98" s="248"/>
      <c r="L98" s="247"/>
      <c r="M98" s="336"/>
      <c r="N98" s="247"/>
      <c r="O98" s="247"/>
      <c r="P98" s="247"/>
      <c r="Q98" s="247"/>
      <c r="R98" s="247"/>
      <c r="S98" s="153"/>
    </row>
    <row r="99" spans="1:19" s="3" customFormat="1" ht="15" x14ac:dyDescent="0.2">
      <c r="A99" s="175"/>
      <c r="B99" s="228"/>
      <c r="C99" s="230"/>
      <c r="D99" s="230"/>
      <c r="E99" s="230"/>
      <c r="F99" s="246"/>
      <c r="G99" s="246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7"/>
      <c r="S99" s="153"/>
    </row>
    <row r="100" spans="1:19" s="3" customFormat="1" ht="15" x14ac:dyDescent="0.2">
      <c r="A100" s="153"/>
      <c r="B100" s="228"/>
      <c r="C100" s="230"/>
      <c r="D100" s="230"/>
      <c r="E100" s="230"/>
      <c r="F100" s="246"/>
      <c r="G100" s="246"/>
      <c r="H100" s="246"/>
      <c r="I100" s="247"/>
      <c r="J100" s="248"/>
      <c r="K100" s="248"/>
      <c r="L100" s="247"/>
      <c r="M100" s="247"/>
      <c r="N100" s="247"/>
      <c r="O100" s="247"/>
      <c r="P100" s="247"/>
      <c r="Q100" s="258"/>
      <c r="R100" s="247"/>
      <c r="S100" s="153"/>
    </row>
    <row r="101" spans="1:19" s="3" customFormat="1" ht="15" x14ac:dyDescent="0.2">
      <c r="B101" s="228" t="s">
        <v>60</v>
      </c>
      <c r="C101" s="230"/>
      <c r="D101" s="230"/>
      <c r="E101" s="224"/>
      <c r="F101" s="179"/>
      <c r="G101" s="443">
        <f>-'Investment Assumption Summary'!K33</f>
        <v>-2473250.5713760005</v>
      </c>
      <c r="H101" s="443">
        <f t="shared" ref="H101:Q101" si="63">IF(H$5=$G$104,H$84+H$97,H$84)</f>
        <v>-966101.09970447794</v>
      </c>
      <c r="I101" s="443">
        <f t="shared" si="63"/>
        <v>-45487.117776941159</v>
      </c>
      <c r="J101" s="443">
        <f t="shared" si="63"/>
        <v>271821.13589408796</v>
      </c>
      <c r="K101" s="443">
        <f t="shared" si="63"/>
        <v>290708.06601409591</v>
      </c>
      <c r="L101" s="443">
        <f t="shared" si="63"/>
        <v>310185.13922602724</v>
      </c>
      <c r="M101" s="443">
        <f t="shared" si="63"/>
        <v>299991.50544640073</v>
      </c>
      <c r="N101" s="443">
        <f t="shared" si="63"/>
        <v>276473.15074367542</v>
      </c>
      <c r="O101" s="443">
        <f t="shared" si="63"/>
        <v>372339.33281388902</v>
      </c>
      <c r="P101" s="443">
        <f t="shared" si="63"/>
        <v>394361.86195504403</v>
      </c>
      <c r="Q101" s="443">
        <f t="shared" si="63"/>
        <v>6484387.0942442315</v>
      </c>
      <c r="R101" s="248"/>
      <c r="S101" s="153"/>
    </row>
    <row r="102" spans="1:19" s="3" customFormat="1" ht="15" x14ac:dyDescent="0.2">
      <c r="A102" s="177"/>
      <c r="B102" s="230"/>
      <c r="C102" s="230"/>
      <c r="D102" s="230"/>
      <c r="E102" s="179"/>
      <c r="F102" s="179"/>
      <c r="G102" s="199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48"/>
      <c r="S102" s="153"/>
    </row>
    <row r="103" spans="1:19" s="3" customFormat="1" ht="15" x14ac:dyDescent="0.2">
      <c r="A103" s="153"/>
      <c r="B103" s="179"/>
      <c r="C103" s="230"/>
      <c r="D103" s="230"/>
      <c r="E103" s="230"/>
      <c r="F103" s="246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259"/>
      <c r="S103" s="153"/>
    </row>
    <row r="104" spans="1:19" s="3" customFormat="1" ht="15" x14ac:dyDescent="0.2">
      <c r="A104" s="153"/>
      <c r="B104" s="179" t="s">
        <v>64</v>
      </c>
      <c r="C104" s="179"/>
      <c r="D104" s="179"/>
      <c r="E104" s="179"/>
      <c r="F104" s="179"/>
      <c r="G104" s="232">
        <f>'Investment Assumption Summary'!F61</f>
        <v>10</v>
      </c>
      <c r="H104" s="179"/>
      <c r="I104" s="179"/>
      <c r="J104" s="179"/>
      <c r="K104" s="179"/>
      <c r="L104" s="248"/>
      <c r="M104" s="248"/>
      <c r="N104" s="248"/>
      <c r="O104" s="248"/>
      <c r="P104" s="248"/>
      <c r="Q104" s="248"/>
      <c r="R104" s="248"/>
      <c r="S104" s="153"/>
    </row>
    <row r="105" spans="1:19" s="3" customFormat="1" ht="15" x14ac:dyDescent="0.2">
      <c r="A105" s="153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248"/>
      <c r="M105" s="248"/>
      <c r="N105" s="248"/>
      <c r="O105" s="248"/>
      <c r="P105" s="248"/>
      <c r="Q105" s="260"/>
      <c r="R105" s="248"/>
      <c r="S105" s="153"/>
    </row>
    <row r="106" spans="1:19" s="3" customFormat="1" ht="15" x14ac:dyDescent="0.2">
      <c r="A106" s="153"/>
      <c r="B106" s="230" t="s">
        <v>59</v>
      </c>
      <c r="C106" s="230"/>
      <c r="D106" s="230"/>
      <c r="E106" s="230"/>
      <c r="F106" s="246"/>
      <c r="G106" s="446"/>
      <c r="H106" s="209" t="str">
        <f>IF($G$104=H5,'Investment Assumption Summary'!$K$33,"")</f>
        <v/>
      </c>
      <c r="I106" s="209" t="str">
        <f>IF($G$104=I5,'Investment Assumption Summary'!$K$33,"")</f>
        <v/>
      </c>
      <c r="J106" s="209" t="str">
        <f>IF($G$104=J5,'Investment Assumption Summary'!$K$33,"")</f>
        <v/>
      </c>
      <c r="K106" s="209" t="str">
        <f>IF($G$104=K5,'Investment Assumption Summary'!$K$33,"")</f>
        <v/>
      </c>
      <c r="L106" s="209" t="str">
        <f>IF($G$104=L5,'Investment Assumption Summary'!$K$33,"")</f>
        <v/>
      </c>
      <c r="M106" s="209"/>
      <c r="N106" s="209"/>
      <c r="O106" s="209" t="str">
        <f>IF($G$104=O5,'Investment Assumption Summary'!$K$33,"")</f>
        <v/>
      </c>
      <c r="P106" s="209" t="str">
        <f>IF($G$104=P5,'Investment Assumption Summary'!$K$33,"")</f>
        <v/>
      </c>
      <c r="Q106" s="209">
        <f>IF($G$104=Q5,'Investment Assumption Summary'!$K$33,"")</f>
        <v>2473250.5713760005</v>
      </c>
      <c r="R106" s="262" t="str">
        <f>IF($G$104=R5,'Investment Assumption Summary'!$K$33,"")</f>
        <v/>
      </c>
      <c r="S106" s="153"/>
    </row>
    <row r="107" spans="1:19" s="3" customFormat="1" ht="15" x14ac:dyDescent="0.2">
      <c r="A107" s="153"/>
      <c r="B107" s="228" t="s">
        <v>125</v>
      </c>
      <c r="C107" s="230"/>
      <c r="D107" s="230"/>
      <c r="E107" s="230"/>
      <c r="F107" s="246"/>
      <c r="G107" s="446"/>
      <c r="H107" s="209" t="str">
        <f>IF($G$104=H5,SUM($G$100:H101),"")</f>
        <v/>
      </c>
      <c r="I107" s="209" t="str">
        <f>IF($G$104=I5,SUM($G$100:I101),"")</f>
        <v/>
      </c>
      <c r="J107" s="209" t="str">
        <f>IF($G$104=J5,SUM($G$100:J101),"")</f>
        <v/>
      </c>
      <c r="K107" s="209" t="str">
        <f>IF($G$104=K5,SUM($G$100:K101),"")</f>
        <v/>
      </c>
      <c r="L107" s="209" t="str">
        <f>IF($G$104=L5,SUM($G$100:L101),"")</f>
        <v/>
      </c>
      <c r="M107" s="209" t="str">
        <f>IF($G$104=M5,SUM($G$100:M101),"")</f>
        <v/>
      </c>
      <c r="N107" s="209" t="str">
        <f>IF($G$104=N5,SUM($G$100:N101),"")</f>
        <v/>
      </c>
      <c r="O107" s="209" t="str">
        <f>IF($G$104=O5,SUM($G$100:O101),"")</f>
        <v/>
      </c>
      <c r="P107" s="209" t="str">
        <f>IF($G$104=P5,SUM($G$100:P101),"")</f>
        <v/>
      </c>
      <c r="Q107" s="209">
        <f>IF($G$104=Q5,SUM($G$100:Q101),"")</f>
        <v>5215428.497480033</v>
      </c>
      <c r="R107" s="262" t="str">
        <f>IF($G$104=R5,SUM($G$100:R101),"")</f>
        <v/>
      </c>
      <c r="S107" s="153"/>
    </row>
    <row r="108" spans="1:19" s="3" customFormat="1" ht="15" x14ac:dyDescent="0.2">
      <c r="A108" s="153"/>
      <c r="B108" s="228" t="s">
        <v>66</v>
      </c>
      <c r="C108" s="230"/>
      <c r="D108" s="230"/>
      <c r="E108" s="230"/>
      <c r="F108" s="246"/>
      <c r="G108" s="446"/>
      <c r="H108" s="447" t="str">
        <f>IF($G$104=H5,(H106+H107)/H106,"")</f>
        <v/>
      </c>
      <c r="I108" s="447" t="str">
        <f>IF($G$104=I5,(I106+I107)/I106,"")</f>
        <v/>
      </c>
      <c r="J108" s="447" t="str">
        <f>IF($G$104=J5,(J106+J107)/J106,"")</f>
        <v/>
      </c>
      <c r="K108" s="447" t="str">
        <f>IF($G$104=K5,(K106+K107)/K106,"")</f>
        <v/>
      </c>
      <c r="L108" s="447" t="str">
        <f>IF($G$104=L5,(L106+L107)/L106,"")</f>
        <v/>
      </c>
      <c r="M108" s="191"/>
      <c r="N108" s="447" t="str">
        <f>IF($G$104=N5,(N106+N107)/N106,"")</f>
        <v/>
      </c>
      <c r="O108" s="447" t="str">
        <f>IF($G$104=O5,(O106+O107)/O106,"")</f>
        <v/>
      </c>
      <c r="P108" s="447" t="str">
        <f>IF($G$104=P5,(P106+P107)/P106,"")</f>
        <v/>
      </c>
      <c r="Q108" s="445">
        <f>IF($G$104=Q5,(Q106+Q107)/Q106,"")</f>
        <v>3.1087343748508318</v>
      </c>
      <c r="R108" s="234" t="str">
        <f>IF($G$104=R5,(R106+R107)/R106,"")</f>
        <v/>
      </c>
      <c r="S108" s="153"/>
    </row>
    <row r="109" spans="1:19" s="3" customFormat="1" ht="15" x14ac:dyDescent="0.2">
      <c r="A109" s="153"/>
      <c r="B109" s="228" t="s">
        <v>71</v>
      </c>
      <c r="C109" s="230"/>
      <c r="D109" s="230"/>
      <c r="E109" s="230"/>
      <c r="F109" s="246"/>
      <c r="G109" s="446"/>
      <c r="H109" s="265" t="str">
        <f>IF($G$104=H5,IRR($G$100:H101),"")</f>
        <v/>
      </c>
      <c r="I109" s="265" t="str">
        <f>IF($G$104=I5,IRR($G$100:I101),"")</f>
        <v/>
      </c>
      <c r="J109" s="265" t="str">
        <f>IF($G$104=J5,IRR($G$100:J101),"")</f>
        <v/>
      </c>
      <c r="K109" s="265" t="str">
        <f>IF($G$104=K5,IRR($G$100:K101),"")</f>
        <v/>
      </c>
      <c r="L109" s="265" t="str">
        <f>IF($G$104=L5,IRR($G$100:L101),"")</f>
        <v/>
      </c>
      <c r="M109" s="265" t="str">
        <f>IF($G$104=M5,IRR($G$100:M101),"")</f>
        <v/>
      </c>
      <c r="N109" s="265" t="str">
        <f>IF($G$104=N5,IRR($G$100:N101),"")</f>
        <v/>
      </c>
      <c r="O109" s="265" t="str">
        <f>IF($G$104=O5,IRR($G$100:O101),"")</f>
        <v/>
      </c>
      <c r="P109" s="265" t="str">
        <f>IF($G$104=P5,IRR($G$100:P101),"")</f>
        <v/>
      </c>
      <c r="Q109" s="265">
        <f>IF($G$104=Q5,IRR($G$100:Q101),"")</f>
        <v>0.11340477581312247</v>
      </c>
      <c r="R109" s="263" t="str">
        <f>IF($G$104=R5,IRR($G$100:R101),"")</f>
        <v/>
      </c>
      <c r="S109" s="153"/>
    </row>
    <row r="110" spans="1:19" s="3" customFormat="1" ht="15" x14ac:dyDescent="0.2">
      <c r="A110" s="153"/>
      <c r="B110" s="228"/>
      <c r="C110" s="230"/>
      <c r="D110" s="230"/>
      <c r="E110" s="230"/>
      <c r="F110" s="246"/>
      <c r="G110" s="261"/>
      <c r="H110" s="248"/>
      <c r="I110" s="248"/>
      <c r="J110" s="248"/>
      <c r="K110" s="248"/>
      <c r="L110" s="248"/>
      <c r="M110" s="248"/>
      <c r="N110" s="248"/>
      <c r="O110" s="248"/>
      <c r="P110" s="264"/>
      <c r="Q110" s="265"/>
      <c r="R110" s="248"/>
      <c r="S110" s="153"/>
    </row>
    <row r="111" spans="1:19" s="3" customFormat="1" ht="15" x14ac:dyDescent="0.2">
      <c r="A111" s="153"/>
      <c r="B111" s="228"/>
      <c r="C111" s="230"/>
      <c r="D111" s="230"/>
      <c r="E111" s="230"/>
      <c r="F111" s="246"/>
      <c r="G111" s="261"/>
      <c r="H111" s="264"/>
      <c r="I111" s="248"/>
      <c r="J111" s="248"/>
      <c r="K111" s="248"/>
      <c r="L111" s="248"/>
      <c r="M111" s="248"/>
      <c r="N111" s="248"/>
      <c r="O111" s="248"/>
      <c r="P111" s="264"/>
      <c r="Q111" s="265"/>
      <c r="R111" s="248"/>
      <c r="S111" s="153"/>
    </row>
    <row r="112" spans="1:19" s="3" customFormat="1" ht="15" x14ac:dyDescent="0.2">
      <c r="A112" s="153"/>
      <c r="B112" s="228"/>
      <c r="C112" s="230"/>
      <c r="D112" s="230"/>
      <c r="E112" s="230"/>
      <c r="F112" s="246"/>
      <c r="G112" s="246"/>
      <c r="H112" s="247"/>
      <c r="I112" s="179"/>
      <c r="J112" s="179"/>
      <c r="K112" s="248"/>
      <c r="L112" s="266"/>
      <c r="M112" s="247"/>
      <c r="N112" s="247"/>
      <c r="O112" s="247"/>
      <c r="P112" s="267"/>
      <c r="Q112" s="268"/>
      <c r="R112" s="248"/>
      <c r="S112" s="153"/>
    </row>
    <row r="113" spans="1:19" s="3" customFormat="1" ht="15" x14ac:dyDescent="0.2">
      <c r="A113" s="153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3"/>
    </row>
    <row r="114" spans="1:19" s="3" customFormat="1" ht="15" x14ac:dyDescent="0.2">
      <c r="A114" s="153"/>
      <c r="B114" s="334" t="s">
        <v>154</v>
      </c>
      <c r="C114" s="226"/>
      <c r="D114" s="226"/>
      <c r="E114" s="226"/>
      <c r="F114" s="340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7"/>
      <c r="S114" s="153"/>
    </row>
    <row r="115" spans="1:19" s="3" customFormat="1" ht="15" x14ac:dyDescent="0.25">
      <c r="A115" s="153"/>
      <c r="B115" s="1" t="s">
        <v>103</v>
      </c>
      <c r="C115" s="179"/>
      <c r="D115" s="179"/>
      <c r="E115" s="179"/>
      <c r="F115" s="179"/>
      <c r="G115" s="179"/>
      <c r="H115" s="180">
        <f>+'Operating Statement'!I36+I33</f>
        <v>542576.89915294864</v>
      </c>
      <c r="I115" s="180">
        <f>+'Operating Statement'!J36+J33</f>
        <v>613596.52791447507</v>
      </c>
      <c r="J115" s="180">
        <f>+'Operating Statement'!K36+K33</f>
        <v>634357.94258282322</v>
      </c>
      <c r="K115" s="180">
        <f>+'Operating Statement'!L36+L33</f>
        <v>655765.73487954517</v>
      </c>
      <c r="L115" s="180">
        <f>+'Operating Statement'!M36+M33</f>
        <v>677839.53148537583</v>
      </c>
      <c r="M115" s="180">
        <f>+'Operating Statement'!N36+N33</f>
        <v>700599.55023499136</v>
      </c>
      <c r="N115" s="180">
        <f>+'Operating Statement'!O36+O33</f>
        <v>724066.61787516123</v>
      </c>
      <c r="O115" s="180">
        <f>+'Operating Statement'!P36+P33</f>
        <v>748262.18835588312</v>
      </c>
      <c r="P115" s="180">
        <f>+'Operating Statement'!Q36+Q33</f>
        <v>773208.36167048884</v>
      </c>
      <c r="Q115" s="180">
        <f>+'Operating Statement'!R36+R33</f>
        <v>798927.90326118807</v>
      </c>
      <c r="R115" s="179"/>
      <c r="S115" s="153"/>
    </row>
    <row r="116" spans="1:19" s="3" customFormat="1" ht="15" x14ac:dyDescent="0.25">
      <c r="A116" s="153"/>
      <c r="B116" s="1" t="s">
        <v>55</v>
      </c>
      <c r="C116" s="179"/>
      <c r="D116" s="179"/>
      <c r="E116" s="179"/>
      <c r="F116" s="179"/>
      <c r="G116" s="179"/>
      <c r="H116" s="181">
        <f t="shared" ref="H116:Q116" si="64">H91</f>
        <v>0.08</v>
      </c>
      <c r="I116" s="181">
        <f t="shared" si="64"/>
        <v>0.08</v>
      </c>
      <c r="J116" s="181">
        <f t="shared" si="64"/>
        <v>0.08</v>
      </c>
      <c r="K116" s="181">
        <f t="shared" si="64"/>
        <v>0.08</v>
      </c>
      <c r="L116" s="181">
        <f t="shared" si="64"/>
        <v>0.08</v>
      </c>
      <c r="M116" s="181">
        <f t="shared" si="64"/>
        <v>0.08</v>
      </c>
      <c r="N116" s="181">
        <f t="shared" si="64"/>
        <v>0.08</v>
      </c>
      <c r="O116" s="181">
        <f t="shared" si="64"/>
        <v>0.08</v>
      </c>
      <c r="P116" s="181">
        <f t="shared" si="64"/>
        <v>0.08</v>
      </c>
      <c r="Q116" s="181">
        <f t="shared" si="64"/>
        <v>0.08</v>
      </c>
      <c r="R116" s="179"/>
      <c r="S116" s="153"/>
    </row>
    <row r="117" spans="1:19" s="3" customFormat="1" ht="15" x14ac:dyDescent="0.25">
      <c r="A117" s="153"/>
      <c r="B117" s="1"/>
      <c r="C117" s="179"/>
      <c r="D117" s="179"/>
      <c r="E117" s="179"/>
      <c r="F117" s="179"/>
      <c r="G117" s="179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79"/>
      <c r="S117" s="183"/>
    </row>
    <row r="118" spans="1:19" s="3" customFormat="1" ht="15" x14ac:dyDescent="0.25">
      <c r="A118" s="153"/>
      <c r="B118" s="1" t="s">
        <v>110</v>
      </c>
      <c r="C118" s="179"/>
      <c r="D118" s="179"/>
      <c r="E118" s="179"/>
      <c r="F118" s="179"/>
      <c r="G118" s="179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79"/>
      <c r="S118" s="153"/>
    </row>
    <row r="119" spans="1:19" s="3" customFormat="1" ht="15" x14ac:dyDescent="0.25">
      <c r="A119" s="153"/>
      <c r="B119" s="1" t="s">
        <v>104</v>
      </c>
      <c r="C119" s="179"/>
      <c r="D119" s="179"/>
      <c r="E119" s="179"/>
      <c r="F119" s="179"/>
      <c r="G119" s="179"/>
      <c r="H119" s="449">
        <f>1/1.14</f>
        <v>0.87719298245614041</v>
      </c>
      <c r="I119" s="184">
        <f>H119</f>
        <v>0.87719298245614041</v>
      </c>
      <c r="J119" s="184">
        <f t="shared" ref="J119:Q119" si="65">I119</f>
        <v>0.87719298245614041</v>
      </c>
      <c r="K119" s="184">
        <f t="shared" si="65"/>
        <v>0.87719298245614041</v>
      </c>
      <c r="L119" s="184">
        <f t="shared" si="65"/>
        <v>0.87719298245614041</v>
      </c>
      <c r="M119" s="184">
        <f t="shared" si="65"/>
        <v>0.87719298245614041</v>
      </c>
      <c r="N119" s="184">
        <f t="shared" si="65"/>
        <v>0.87719298245614041</v>
      </c>
      <c r="O119" s="184">
        <f>N119</f>
        <v>0.87719298245614041</v>
      </c>
      <c r="P119" s="184">
        <f t="shared" si="65"/>
        <v>0.87719298245614041</v>
      </c>
      <c r="Q119" s="184">
        <f t="shared" si="65"/>
        <v>0.87719298245614041</v>
      </c>
      <c r="R119" s="179"/>
      <c r="S119" s="153"/>
    </row>
    <row r="120" spans="1:19" s="3" customFormat="1" ht="15" x14ac:dyDescent="0.25">
      <c r="A120" s="153"/>
      <c r="B120" s="1" t="s">
        <v>105</v>
      </c>
      <c r="C120" s="179"/>
      <c r="D120" s="179"/>
      <c r="E120" s="179"/>
      <c r="F120" s="179"/>
      <c r="G120" s="179"/>
      <c r="H120" s="271">
        <f>E133/1000</f>
        <v>3.6159999999999998E-2</v>
      </c>
      <c r="I120" s="185">
        <f>H120</f>
        <v>3.6159999999999998E-2</v>
      </c>
      <c r="J120" s="185">
        <f>I120</f>
        <v>3.6159999999999998E-2</v>
      </c>
      <c r="K120" s="185">
        <f t="shared" ref="K120:Q120" si="66">J120</f>
        <v>3.6159999999999998E-2</v>
      </c>
      <c r="L120" s="185">
        <f t="shared" si="66"/>
        <v>3.6159999999999998E-2</v>
      </c>
      <c r="M120" s="185">
        <f t="shared" si="66"/>
        <v>3.6159999999999998E-2</v>
      </c>
      <c r="N120" s="185">
        <f t="shared" si="66"/>
        <v>3.6159999999999998E-2</v>
      </c>
      <c r="O120" s="185">
        <f t="shared" si="66"/>
        <v>3.6159999999999998E-2</v>
      </c>
      <c r="P120" s="185">
        <f t="shared" si="66"/>
        <v>3.6159999999999998E-2</v>
      </c>
      <c r="Q120" s="185">
        <f t="shared" si="66"/>
        <v>3.6159999999999998E-2</v>
      </c>
      <c r="R120" s="179"/>
      <c r="S120" s="153"/>
    </row>
    <row r="121" spans="1:19" s="3" customFormat="1" ht="15" x14ac:dyDescent="0.25">
      <c r="A121" s="153"/>
      <c r="B121" s="1" t="s">
        <v>106</v>
      </c>
      <c r="C121" s="179"/>
      <c r="D121" s="179"/>
      <c r="E121" s="179"/>
      <c r="F121" s="179"/>
      <c r="G121" s="179"/>
      <c r="H121" s="186">
        <f t="shared" ref="H121:Q121" si="67">H119*H120</f>
        <v>3.1719298245614036E-2</v>
      </c>
      <c r="I121" s="186">
        <f t="shared" si="67"/>
        <v>3.1719298245614036E-2</v>
      </c>
      <c r="J121" s="186">
        <f t="shared" si="67"/>
        <v>3.1719298245614036E-2</v>
      </c>
      <c r="K121" s="186">
        <f t="shared" si="67"/>
        <v>3.1719298245614036E-2</v>
      </c>
      <c r="L121" s="186">
        <f t="shared" si="67"/>
        <v>3.1719298245614036E-2</v>
      </c>
      <c r="M121" s="186">
        <f t="shared" si="67"/>
        <v>3.1719298245614036E-2</v>
      </c>
      <c r="N121" s="186">
        <f t="shared" si="67"/>
        <v>3.1719298245614036E-2</v>
      </c>
      <c r="O121" s="186">
        <f t="shared" si="67"/>
        <v>3.1719298245614036E-2</v>
      </c>
      <c r="P121" s="186">
        <f t="shared" si="67"/>
        <v>3.1719298245614036E-2</v>
      </c>
      <c r="Q121" s="186">
        <f t="shared" si="67"/>
        <v>3.1719298245614036E-2</v>
      </c>
      <c r="R121" s="179"/>
      <c r="S121" s="153"/>
    </row>
    <row r="122" spans="1:19" s="3" customFormat="1" ht="15" x14ac:dyDescent="0.25">
      <c r="A122" s="153"/>
      <c r="B122" s="1"/>
      <c r="C122" s="179"/>
      <c r="D122" s="179"/>
      <c r="E122" s="179"/>
      <c r="F122" s="179"/>
      <c r="G122" s="179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79"/>
      <c r="S122" s="153"/>
    </row>
    <row r="123" spans="1:19" s="3" customFormat="1" ht="15" x14ac:dyDescent="0.25">
      <c r="A123" s="153"/>
      <c r="B123" s="1" t="s">
        <v>107</v>
      </c>
      <c r="C123" s="179"/>
      <c r="D123" s="179"/>
      <c r="E123" s="179"/>
      <c r="F123" s="179"/>
      <c r="G123" s="179"/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>
        <v>0</v>
      </c>
      <c r="O123" s="187">
        <v>0</v>
      </c>
      <c r="P123" s="187">
        <v>0</v>
      </c>
      <c r="Q123" s="187">
        <v>0</v>
      </c>
      <c r="R123" s="179"/>
      <c r="S123" s="153"/>
    </row>
    <row r="124" spans="1:19" s="3" customFormat="1" ht="15" x14ac:dyDescent="0.25">
      <c r="A124" s="153"/>
      <c r="B124" s="1" t="s">
        <v>108</v>
      </c>
      <c r="C124" s="179"/>
      <c r="D124" s="179"/>
      <c r="E124" s="179"/>
      <c r="F124" s="179"/>
      <c r="G124" s="179"/>
      <c r="H124" s="188">
        <f t="shared" ref="H124:Q124" si="68" xml:space="preserve">
IFERROR(
(H115/SUM(H116,H121))+(-H123/(H116+H121)),0)</f>
        <v>4856608.5508351242</v>
      </c>
      <c r="I124" s="188">
        <f t="shared" si="68"/>
        <v>5492305.6047621043</v>
      </c>
      <c r="J124" s="188">
        <f t="shared" si="68"/>
        <v>5678141.1317872051</v>
      </c>
      <c r="K124" s="188">
        <f t="shared" si="68"/>
        <v>5869762.3882120093</v>
      </c>
      <c r="L124" s="188">
        <f t="shared" si="68"/>
        <v>6067345.0525544006</v>
      </c>
      <c r="M124" s="188">
        <f t="shared" si="68"/>
        <v>6271070.0947541622</v>
      </c>
      <c r="N124" s="188">
        <f t="shared" si="68"/>
        <v>6481123.935126286</v>
      </c>
      <c r="O124" s="188">
        <f t="shared" si="68"/>
        <v>6697698.6080850093</v>
      </c>
      <c r="P124" s="188">
        <f t="shared" si="68"/>
        <v>6920991.9307816997</v>
      </c>
      <c r="Q124" s="188">
        <f t="shared" si="68"/>
        <v>7151207.6768039763</v>
      </c>
      <c r="R124" s="179"/>
      <c r="S124" s="153"/>
    </row>
    <row r="125" spans="1:19" s="3" customFormat="1" ht="15" x14ac:dyDescent="0.25">
      <c r="A125" s="153"/>
      <c r="B125" s="1"/>
      <c r="C125" s="179"/>
      <c r="D125" s="179"/>
      <c r="E125" s="179"/>
      <c r="F125" s="179"/>
      <c r="G125" s="17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79"/>
      <c r="S125" s="153"/>
    </row>
    <row r="126" spans="1:19" s="3" customFormat="1" ht="15" x14ac:dyDescent="0.25">
      <c r="A126" s="153"/>
      <c r="B126" s="1" t="s">
        <v>109</v>
      </c>
      <c r="C126" s="179"/>
      <c r="D126" s="179"/>
      <c r="E126" s="179"/>
      <c r="F126" s="179"/>
      <c r="G126" s="179"/>
      <c r="H126" s="190">
        <f t="shared" ref="H126:Q126" si="69">H124*H116</f>
        <v>388528.68406680995</v>
      </c>
      <c r="I126" s="190">
        <f t="shared" si="69"/>
        <v>439384.44838096836</v>
      </c>
      <c r="J126" s="190">
        <f t="shared" si="69"/>
        <v>454251.29054297641</v>
      </c>
      <c r="K126" s="190">
        <f t="shared" si="69"/>
        <v>469580.99105696077</v>
      </c>
      <c r="L126" s="190">
        <f t="shared" si="69"/>
        <v>485387.60420435207</v>
      </c>
      <c r="M126" s="190">
        <f t="shared" si="69"/>
        <v>501685.60758033302</v>
      </c>
      <c r="N126" s="190">
        <f t="shared" si="69"/>
        <v>518489.9148101029</v>
      </c>
      <c r="O126" s="190">
        <f t="shared" si="69"/>
        <v>535815.88864680077</v>
      </c>
      <c r="P126" s="190">
        <f t="shared" si="69"/>
        <v>553679.35446253594</v>
      </c>
      <c r="Q126" s="190">
        <f t="shared" si="69"/>
        <v>572096.61414431816</v>
      </c>
      <c r="R126" s="179"/>
      <c r="S126" s="153"/>
    </row>
    <row r="127" spans="1:19" s="3" customFormat="1" ht="15" x14ac:dyDescent="0.2">
      <c r="A127" s="153"/>
      <c r="B127" s="179"/>
      <c r="C127" s="179"/>
      <c r="D127" s="179"/>
      <c r="E127" s="179"/>
      <c r="F127" s="179"/>
      <c r="G127" s="17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179"/>
      <c r="S127" s="153"/>
    </row>
    <row r="128" spans="1:19" s="3" customFormat="1" ht="15" x14ac:dyDescent="0.25">
      <c r="A128" s="153"/>
      <c r="B128" s="179"/>
      <c r="C128" s="179"/>
      <c r="D128" s="1"/>
      <c r="E128" s="270" t="s">
        <v>133</v>
      </c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223"/>
      <c r="S128" s="153"/>
    </row>
    <row r="129" spans="1:19" s="3" customFormat="1" ht="15" x14ac:dyDescent="0.2">
      <c r="A129" s="153"/>
      <c r="B129" s="179"/>
      <c r="C129" s="179"/>
      <c r="D129" s="191" t="s">
        <v>131</v>
      </c>
      <c r="E129" s="337">
        <v>26.7</v>
      </c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53"/>
    </row>
    <row r="130" spans="1:19" s="3" customFormat="1" ht="15" x14ac:dyDescent="0.2">
      <c r="A130" s="153"/>
      <c r="B130" s="179"/>
      <c r="C130" s="179"/>
      <c r="D130" s="191" t="s">
        <v>81</v>
      </c>
      <c r="E130" s="338">
        <v>4.7300000000000004</v>
      </c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53"/>
    </row>
    <row r="131" spans="1:19" s="3" customFormat="1" ht="15" x14ac:dyDescent="0.2">
      <c r="A131" s="153"/>
      <c r="C131" s="179"/>
      <c r="D131" s="191" t="s">
        <v>132</v>
      </c>
      <c r="E131" s="338">
        <v>4.7300000000000004</v>
      </c>
      <c r="F131" s="192"/>
      <c r="G131" s="192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53"/>
    </row>
    <row r="132" spans="1:19" s="3" customFormat="1" ht="15" x14ac:dyDescent="0.2">
      <c r="A132" s="153"/>
      <c r="C132" s="179"/>
      <c r="D132" s="191" t="s">
        <v>84</v>
      </c>
      <c r="E132" s="339">
        <v>0</v>
      </c>
      <c r="F132" s="192"/>
      <c r="G132" s="192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53"/>
    </row>
    <row r="133" spans="1:19" s="3" customFormat="1" ht="15" x14ac:dyDescent="0.2">
      <c r="A133" s="153"/>
      <c r="C133" s="179"/>
      <c r="D133" s="179"/>
      <c r="E133" s="191">
        <f>SUM(E129:E132)</f>
        <v>36.159999999999997</v>
      </c>
      <c r="F133" s="766"/>
      <c r="G133" s="76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53"/>
    </row>
    <row r="134" spans="1:19" x14ac:dyDescent="0.2">
      <c r="F134" s="766"/>
      <c r="G134" s="771"/>
    </row>
    <row r="135" spans="1:19" ht="15" x14ac:dyDescent="0.2">
      <c r="D135" s="191" t="s">
        <v>559</v>
      </c>
      <c r="E135" s="767">
        <v>0.02</v>
      </c>
      <c r="H135" s="766"/>
      <c r="I135" s="774"/>
    </row>
    <row r="136" spans="1:19" ht="15" x14ac:dyDescent="0.2">
      <c r="D136" s="191" t="s">
        <v>563</v>
      </c>
      <c r="E136" s="768">
        <v>2500000</v>
      </c>
      <c r="F136" s="766" t="s">
        <v>566</v>
      </c>
      <c r="G136" s="769">
        <f>'Investment Assumption Summary'!K38</f>
        <v>6016762.9333333336</v>
      </c>
      <c r="H136" s="766"/>
    </row>
    <row r="137" spans="1:19" ht="15" x14ac:dyDescent="0.2">
      <c r="D137" s="191" t="s">
        <v>561</v>
      </c>
      <c r="E137">
        <v>1.83</v>
      </c>
      <c r="F137" s="766" t="s">
        <v>563</v>
      </c>
      <c r="G137" s="773">
        <f>G136*(1/E137)</f>
        <v>3287848.5974499085</v>
      </c>
      <c r="H137" s="766"/>
    </row>
    <row r="138" spans="1:19" ht="15" x14ac:dyDescent="0.2">
      <c r="D138" s="191" t="s">
        <v>562</v>
      </c>
      <c r="E138" s="768">
        <f>((E136/1000)*$E$133)*(1-$E$135)</f>
        <v>88591.999999999985</v>
      </c>
      <c r="F138" s="766" t="s">
        <v>564</v>
      </c>
      <c r="G138" s="768">
        <f>((G137/1000)*$E$133)*(1-$E$135)</f>
        <v>116510.83317811291</v>
      </c>
      <c r="H138" s="766"/>
      <c r="I138" s="774"/>
    </row>
    <row r="139" spans="1:19" x14ac:dyDescent="0.2">
      <c r="F139" s="766" t="s">
        <v>565</v>
      </c>
      <c r="G139" s="770">
        <f>(G138/H34)-1</f>
        <v>0.30211884433292835</v>
      </c>
    </row>
    <row r="140" spans="1:19" ht="15" x14ac:dyDescent="0.2">
      <c r="D140" s="191" t="s">
        <v>560</v>
      </c>
      <c r="E140" s="768">
        <f>E136/E137</f>
        <v>1366120.218579235</v>
      </c>
    </row>
    <row r="141" spans="1:19" ht="15" x14ac:dyDescent="0.2">
      <c r="D141" s="191"/>
    </row>
    <row r="145" spans="5:14" x14ac:dyDescent="0.2">
      <c r="F145" s="766"/>
      <c r="G145" s="632"/>
    </row>
    <row r="148" spans="5:14" ht="15.75" x14ac:dyDescent="0.25">
      <c r="E148" s="344" t="str">
        <f>LEFT(C148,4)</f>
        <v/>
      </c>
      <c r="G148" s="811" t="s">
        <v>611</v>
      </c>
      <c r="H148" s="811"/>
      <c r="I148" s="811"/>
      <c r="J148" s="811"/>
      <c r="K148" s="811"/>
      <c r="L148" s="811"/>
      <c r="M148" s="811"/>
      <c r="N148" s="811"/>
    </row>
    <row r="149" spans="5:14" ht="15" x14ac:dyDescent="0.25">
      <c r="E149" s="344"/>
      <c r="G149" s="809" t="s">
        <v>610</v>
      </c>
      <c r="H149" s="809"/>
      <c r="I149" s="809"/>
      <c r="J149" s="809"/>
      <c r="K149" s="809"/>
      <c r="L149" s="809"/>
      <c r="M149" s="809"/>
      <c r="N149" s="809"/>
    </row>
    <row r="150" spans="5:14" x14ac:dyDescent="0.2">
      <c r="F150" s="777" t="s">
        <v>614</v>
      </c>
      <c r="G150" s="787">
        <f>(G151/'APARTMENT CapEx'!$V$54)-1</f>
        <v>-0.17040455412724942</v>
      </c>
      <c r="H150" s="787">
        <f>(H151/'APARTMENT CapEx'!$V$54)-1</f>
        <v>3.6994307340938226E-2</v>
      </c>
      <c r="I150" s="787">
        <f>(I151/'APARTMENT CapEx'!$V$54)-1</f>
        <v>0.24439316880912587</v>
      </c>
      <c r="J150" s="787">
        <f>(J151/'APARTMENT CapEx'!$V$54)-1</f>
        <v>0.45179203027731352</v>
      </c>
      <c r="K150" s="787">
        <f>(K151/'APARTMENT CapEx'!$V$54)-1</f>
        <v>0.65919089174550116</v>
      </c>
      <c r="L150" s="787">
        <f>(L151/'APARTMENT CapEx'!$V$54)-1</f>
        <v>0.86658975321368881</v>
      </c>
      <c r="M150" s="787">
        <f>(M151/'APARTMENT CapEx'!$V$54)-1</f>
        <v>1.0739886146818765</v>
      </c>
      <c r="N150" s="787">
        <f>(N151/'APARTMENT CapEx'!$V$54)-1</f>
        <v>1.2813874761500643</v>
      </c>
    </row>
    <row r="151" spans="5:14" x14ac:dyDescent="0.2">
      <c r="F151" s="777" t="s">
        <v>613</v>
      </c>
      <c r="G151" s="788">
        <v>1000000</v>
      </c>
      <c r="H151" s="788">
        <f t="shared" ref="H151:N151" si="70">G151+250000</f>
        <v>1250000</v>
      </c>
      <c r="I151" s="788">
        <f t="shared" si="70"/>
        <v>1500000</v>
      </c>
      <c r="J151" s="788">
        <f t="shared" si="70"/>
        <v>1750000</v>
      </c>
      <c r="K151" s="788">
        <f t="shared" si="70"/>
        <v>2000000</v>
      </c>
      <c r="L151" s="788">
        <f t="shared" si="70"/>
        <v>2250000</v>
      </c>
      <c r="M151" s="788">
        <f t="shared" si="70"/>
        <v>2500000</v>
      </c>
      <c r="N151" s="788">
        <f t="shared" si="70"/>
        <v>2750000</v>
      </c>
    </row>
    <row r="152" spans="5:14" ht="15" x14ac:dyDescent="0.25">
      <c r="E152" s="810" t="s">
        <v>174</v>
      </c>
      <c r="F152" s="67">
        <v>-5.0000000000000001E-3</v>
      </c>
      <c r="G152" s="789">
        <v>-4.4999999999999998E-2</v>
      </c>
      <c r="H152" s="789">
        <v>-5.5E-2</v>
      </c>
      <c r="I152" s="789">
        <v>-6.3E-2</v>
      </c>
      <c r="J152" s="789">
        <v>-7.0999999999999994E-2</v>
      </c>
      <c r="K152" s="789">
        <v>-7.9000000000000001E-2</v>
      </c>
      <c r="L152" s="789">
        <v>-8.5999999999999993E-2</v>
      </c>
      <c r="M152" s="789">
        <v>-9.1999999999999998E-2</v>
      </c>
      <c r="N152" s="789">
        <v>-9.9000000000000005E-2</v>
      </c>
    </row>
    <row r="153" spans="5:14" x14ac:dyDescent="0.2">
      <c r="E153" s="810"/>
      <c r="F153" s="786">
        <f t="shared" ref="F153:F167" si="71">F152+0.005</f>
        <v>0</v>
      </c>
      <c r="G153" s="789">
        <v>-8.0000000000000002E-3</v>
      </c>
      <c r="H153" s="789">
        <v>-1.7000000000000001E-2</v>
      </c>
      <c r="I153" s="789">
        <v>-2.6000000000000002E-2</v>
      </c>
      <c r="J153" s="789">
        <v>-3.4000000000000002E-2</v>
      </c>
      <c r="K153" s="789">
        <v>-4.0999999999999995E-2</v>
      </c>
      <c r="L153" s="789">
        <v>-4.8000000000000001E-2</v>
      </c>
      <c r="M153" s="789">
        <v>-5.5E-2</v>
      </c>
      <c r="N153" s="789">
        <v>-6.0999999999999999E-2</v>
      </c>
    </row>
    <row r="154" spans="5:14" x14ac:dyDescent="0.2">
      <c r="E154" s="810"/>
      <c r="F154" s="786">
        <f t="shared" si="71"/>
        <v>5.0000000000000001E-3</v>
      </c>
      <c r="G154" s="789">
        <v>2.1000000000000001E-2</v>
      </c>
      <c r="H154" s="789">
        <v>1.2E-2</v>
      </c>
      <c r="I154" s="789">
        <v>4.0000000000000001E-3</v>
      </c>
      <c r="J154" s="789">
        <v>-4.0000000000000001E-3</v>
      </c>
      <c r="K154" s="789">
        <v>-1.1000000000000001E-2</v>
      </c>
      <c r="L154" s="789">
        <v>-1.8000000000000002E-2</v>
      </c>
      <c r="M154" s="789">
        <v>-2.5000000000000001E-2</v>
      </c>
      <c r="N154" s="789">
        <v>-3.1E-2</v>
      </c>
    </row>
    <row r="155" spans="5:14" x14ac:dyDescent="0.2">
      <c r="E155" s="810"/>
      <c r="F155" s="786">
        <f t="shared" si="71"/>
        <v>0.01</v>
      </c>
      <c r="G155" s="789">
        <v>4.5999999999999999E-2</v>
      </c>
      <c r="H155" s="789">
        <v>3.6999999999999998E-2</v>
      </c>
      <c r="I155" s="789">
        <v>2.9000000000000001E-2</v>
      </c>
      <c r="J155" s="789">
        <v>2.1000000000000001E-2</v>
      </c>
      <c r="K155" s="789">
        <v>1.4E-2</v>
      </c>
      <c r="L155" s="789">
        <v>7.0000000000000001E-3</v>
      </c>
      <c r="M155" s="789">
        <v>0</v>
      </c>
      <c r="N155" s="789">
        <v>-6.0000000000000001E-3</v>
      </c>
    </row>
    <row r="156" spans="5:14" x14ac:dyDescent="0.2">
      <c r="E156" s="810"/>
      <c r="F156" s="786">
        <f t="shared" si="71"/>
        <v>1.4999999999999999E-2</v>
      </c>
      <c r="G156" s="789">
        <v>6.8000000000000005E-2</v>
      </c>
      <c r="H156" s="789">
        <v>5.8999999999999997E-2</v>
      </c>
      <c r="I156" s="789">
        <v>5.0999999999999997E-2</v>
      </c>
      <c r="J156" s="789">
        <v>4.2999999999999997E-2</v>
      </c>
      <c r="K156" s="789">
        <v>3.5999999999999997E-2</v>
      </c>
      <c r="L156" s="789">
        <v>2.9000000000000001E-2</v>
      </c>
      <c r="M156" s="789">
        <v>2.1999999999999999E-2</v>
      </c>
      <c r="N156" s="789">
        <v>1.6E-2</v>
      </c>
    </row>
    <row r="157" spans="5:14" x14ac:dyDescent="0.2">
      <c r="E157" s="810"/>
      <c r="F157" s="786">
        <f t="shared" si="71"/>
        <v>0.02</v>
      </c>
      <c r="G157" s="789">
        <v>8.7999999999999995E-2</v>
      </c>
      <c r="H157" s="789">
        <v>7.9000000000000001E-2</v>
      </c>
      <c r="I157" s="789">
        <v>7.0999999999999994E-2</v>
      </c>
      <c r="J157" s="789">
        <v>6.3E-2</v>
      </c>
      <c r="K157" s="789">
        <v>5.5E-2</v>
      </c>
      <c r="L157" s="789">
        <v>4.8000000000000001E-2</v>
      </c>
      <c r="M157" s="789">
        <v>4.2000000000000003E-2</v>
      </c>
      <c r="N157" s="789">
        <v>3.5000000000000003E-2</v>
      </c>
    </row>
    <row r="158" spans="5:14" x14ac:dyDescent="0.2">
      <c r="E158" s="810"/>
      <c r="F158" s="786">
        <f t="shared" si="71"/>
        <v>2.5000000000000001E-2</v>
      </c>
      <c r="G158" s="789">
        <v>0.106</v>
      </c>
      <c r="H158" s="789">
        <v>9.7000000000000003E-2</v>
      </c>
      <c r="I158" s="789">
        <v>8.8999999999999996E-2</v>
      </c>
      <c r="J158" s="789">
        <v>8.1000000000000003E-2</v>
      </c>
      <c r="K158" s="789">
        <v>7.2999999999999995E-2</v>
      </c>
      <c r="L158" s="789">
        <v>6.6000000000000003E-2</v>
      </c>
      <c r="M158" s="789">
        <v>0.06</v>
      </c>
      <c r="N158" s="789">
        <v>5.2999999999999999E-2</v>
      </c>
    </row>
    <row r="159" spans="5:14" x14ac:dyDescent="0.2">
      <c r="E159" s="810"/>
      <c r="F159" s="786">
        <f t="shared" si="71"/>
        <v>3.0000000000000002E-2</v>
      </c>
      <c r="G159" s="789">
        <v>0.122</v>
      </c>
      <c r="H159" s="790">
        <v>0.114</v>
      </c>
      <c r="I159" s="789">
        <v>0.105</v>
      </c>
      <c r="J159" s="789">
        <v>9.7000000000000003E-2</v>
      </c>
      <c r="K159" s="789">
        <v>0.09</v>
      </c>
      <c r="L159" s="789">
        <v>8.3000000000000004E-2</v>
      </c>
      <c r="M159" s="789">
        <v>7.5999999999999998E-2</v>
      </c>
      <c r="N159" s="789">
        <v>7.0000000000000007E-2</v>
      </c>
    </row>
    <row r="160" spans="5:14" x14ac:dyDescent="0.2">
      <c r="E160" s="810"/>
      <c r="F160" s="786">
        <f t="shared" si="71"/>
        <v>3.5000000000000003E-2</v>
      </c>
      <c r="G160" s="789">
        <v>0.13800000000000001</v>
      </c>
      <c r="H160" s="789">
        <v>0.129</v>
      </c>
      <c r="I160" s="789">
        <v>0.121</v>
      </c>
      <c r="J160" s="789">
        <v>0.113</v>
      </c>
      <c r="K160" s="789">
        <v>0.105</v>
      </c>
      <c r="L160" s="789">
        <v>9.8000000000000004E-2</v>
      </c>
      <c r="M160" s="789">
        <v>9.0999999999999998E-2</v>
      </c>
      <c r="N160" s="789">
        <v>8.5000000000000006E-2</v>
      </c>
    </row>
    <row r="161" spans="5:14" x14ac:dyDescent="0.2">
      <c r="E161" s="810"/>
      <c r="F161" s="786">
        <f t="shared" si="71"/>
        <v>0.04</v>
      </c>
      <c r="G161" s="789">
        <v>0.153</v>
      </c>
      <c r="H161" s="789">
        <v>0.14400000000000002</v>
      </c>
      <c r="I161" s="789">
        <v>0.13500000000000001</v>
      </c>
      <c r="J161" s="789">
        <v>0.127</v>
      </c>
      <c r="K161" s="789">
        <v>0.12</v>
      </c>
      <c r="L161" s="789">
        <v>0.113</v>
      </c>
      <c r="M161" s="789">
        <v>0.106</v>
      </c>
      <c r="N161" s="789">
        <v>9.9000000000000005E-2</v>
      </c>
    </row>
    <row r="162" spans="5:14" x14ac:dyDescent="0.2">
      <c r="E162" s="810"/>
      <c r="F162" s="786">
        <f t="shared" si="71"/>
        <v>4.4999999999999998E-2</v>
      </c>
      <c r="G162" s="789">
        <v>0.16699999999999998</v>
      </c>
      <c r="H162" s="789">
        <v>0.158</v>
      </c>
      <c r="I162" s="789">
        <v>0.14899999999999999</v>
      </c>
      <c r="J162" s="789">
        <v>0.14099999999999999</v>
      </c>
      <c r="K162" s="789">
        <v>0.13400000000000001</v>
      </c>
      <c r="L162" s="789">
        <v>0.126</v>
      </c>
      <c r="M162" s="789">
        <v>0.12</v>
      </c>
      <c r="N162" s="789">
        <v>0.113</v>
      </c>
    </row>
    <row r="163" spans="5:14" x14ac:dyDescent="0.2">
      <c r="E163" s="810"/>
      <c r="F163" s="786">
        <f t="shared" si="71"/>
        <v>4.9999999999999996E-2</v>
      </c>
      <c r="G163" s="789">
        <v>0.18</v>
      </c>
      <c r="H163" s="789">
        <v>0.17100000000000001</v>
      </c>
      <c r="I163" s="789">
        <v>0.16200000000000001</v>
      </c>
      <c r="J163" s="789">
        <v>0.154</v>
      </c>
      <c r="K163" s="789">
        <v>0.14699999999999999</v>
      </c>
      <c r="L163" s="789">
        <v>0.14000000000000001</v>
      </c>
      <c r="M163" s="789">
        <v>0.13300000000000001</v>
      </c>
      <c r="N163" s="789">
        <v>0.126</v>
      </c>
    </row>
    <row r="164" spans="5:14" x14ac:dyDescent="0.2">
      <c r="E164" s="810"/>
      <c r="F164" s="786">
        <f t="shared" si="71"/>
        <v>5.4999999999999993E-2</v>
      </c>
      <c r="G164" s="789">
        <v>0.193</v>
      </c>
      <c r="H164" s="789">
        <v>0.184</v>
      </c>
      <c r="I164" s="789">
        <v>0.17499999999999999</v>
      </c>
      <c r="J164" s="789">
        <v>0.16699999999999998</v>
      </c>
      <c r="K164" s="789">
        <v>0.159</v>
      </c>
      <c r="L164" s="789">
        <v>0.152</v>
      </c>
      <c r="M164" s="789">
        <v>0.14499999999999999</v>
      </c>
      <c r="N164" s="789">
        <v>0.13900000000000001</v>
      </c>
    </row>
    <row r="165" spans="5:14" x14ac:dyDescent="0.2">
      <c r="E165" s="810"/>
      <c r="F165" s="786">
        <f t="shared" si="71"/>
        <v>5.9999999999999991E-2</v>
      </c>
      <c r="G165" s="789">
        <v>0.20499999999999999</v>
      </c>
      <c r="H165" s="789">
        <v>0.19600000000000001</v>
      </c>
      <c r="I165" s="789">
        <v>0.187</v>
      </c>
      <c r="J165" s="789">
        <v>0.17899999999999999</v>
      </c>
      <c r="K165" s="789">
        <v>0.17100000000000001</v>
      </c>
      <c r="L165" s="789">
        <v>0.16399999999999998</v>
      </c>
      <c r="M165" s="789">
        <v>0.157</v>
      </c>
      <c r="N165" s="789">
        <v>0.151</v>
      </c>
    </row>
    <row r="166" spans="5:14" x14ac:dyDescent="0.2">
      <c r="E166" s="810"/>
      <c r="F166" s="786">
        <f t="shared" si="71"/>
        <v>6.4999999999999988E-2</v>
      </c>
      <c r="G166" s="789">
        <v>0.217</v>
      </c>
      <c r="H166" s="789">
        <v>0.20800000000000002</v>
      </c>
      <c r="I166" s="789">
        <v>0.19899999999999998</v>
      </c>
      <c r="J166" s="789">
        <v>0.191</v>
      </c>
      <c r="K166" s="789">
        <v>0.183</v>
      </c>
      <c r="L166" s="789">
        <v>0.17600000000000002</v>
      </c>
      <c r="M166" s="789">
        <v>0.16899999999999998</v>
      </c>
      <c r="N166" s="789">
        <v>0.16200000000000001</v>
      </c>
    </row>
    <row r="167" spans="5:14" x14ac:dyDescent="0.2">
      <c r="E167" s="810"/>
      <c r="F167" s="786">
        <f t="shared" si="71"/>
        <v>6.9999999999999993E-2</v>
      </c>
      <c r="G167" s="789">
        <v>0.22800000000000001</v>
      </c>
      <c r="H167" s="789">
        <v>0.21899999999999997</v>
      </c>
      <c r="I167" s="789">
        <v>0.21</v>
      </c>
      <c r="J167" s="789">
        <v>0.20199999999999999</v>
      </c>
      <c r="K167" s="789">
        <v>0.19500000000000001</v>
      </c>
      <c r="L167" s="789">
        <v>0.187</v>
      </c>
      <c r="M167" s="789">
        <v>0.18</v>
      </c>
      <c r="N167" s="789">
        <v>0.17399999999999999</v>
      </c>
    </row>
    <row r="169" spans="5:14" x14ac:dyDescent="0.2">
      <c r="G169" s="766" t="s">
        <v>612</v>
      </c>
    </row>
  </sheetData>
  <mergeCells count="3">
    <mergeCell ref="G149:N149"/>
    <mergeCell ref="E152:E167"/>
    <mergeCell ref="G148:N148"/>
  </mergeCells>
  <phoneticPr fontId="9" type="noConversion"/>
  <conditionalFormatting sqref="A83">
    <cfRule type="containsText" dxfId="3" priority="5" operator="containsText" text="ERROR">
      <formula>NOT(ISERROR(SEARCH("ERROR",A83)))</formula>
    </cfRule>
    <cfRule type="containsText" dxfId="2" priority="6" operator="containsText" text="OK">
      <formula>NOT(ISERROR(SEARCH("OK",A83)))</formula>
    </cfRule>
  </conditionalFormatting>
  <conditionalFormatting sqref="A102">
    <cfRule type="containsText" dxfId="1" priority="3" operator="containsText" text="ERROR">
      <formula>NOT(ISERROR(SEARCH("ERROR",A102)))</formula>
    </cfRule>
    <cfRule type="containsText" dxfId="0" priority="4" operator="containsText" text="OK">
      <formula>NOT(ISERROR(SEARCH("OK",A102)))</formula>
    </cfRule>
  </conditionalFormatting>
  <conditionalFormatting sqref="G152:N16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E89" xr:uid="{DAAF6D51-D96E-4BC2-906B-42B9F30167BD}">
      <formula1>"YES, NO"</formula1>
    </dataValidation>
  </dataValidations>
  <printOptions horizontalCentered="1"/>
  <pageMargins left="0.5" right="0.5" top="1.1599999999999999" bottom="0.75" header="0.5" footer="0.5"/>
  <pageSetup scale="23" orientation="landscape" horizontalDpi="300" verticalDpi="300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A939-375F-4622-BD88-A48D40570FE7}">
  <sheetPr codeName="Sheet25">
    <tabColor rgb="FF002060"/>
    <pageSetUpPr fitToPage="1"/>
  </sheetPr>
  <dimension ref="B1:T180"/>
  <sheetViews>
    <sheetView showGridLines="0" topLeftCell="A14" zoomScale="90" zoomScaleNormal="90" workbookViewId="0">
      <selection activeCell="G14" sqref="G14"/>
    </sheetView>
  </sheetViews>
  <sheetFormatPr defaultColWidth="6.7109375" defaultRowHeight="12.75" x14ac:dyDescent="0.2"/>
  <cols>
    <col min="1" max="1" width="2" style="455" customWidth="1"/>
    <col min="2" max="2" width="7.42578125" style="455" bestFit="1" customWidth="1"/>
    <col min="3" max="3" width="6.85546875" style="455" bestFit="1" customWidth="1"/>
    <col min="4" max="4" width="6.85546875" style="455" customWidth="1"/>
    <col min="5" max="5" width="9.140625" style="455" customWidth="1"/>
    <col min="6" max="6" width="23.42578125" style="455" customWidth="1"/>
    <col min="7" max="7" width="7.7109375" style="455" customWidth="1"/>
    <col min="8" max="8" width="8.28515625" style="455" bestFit="1" customWidth="1"/>
    <col min="9" max="9" width="9" style="455" bestFit="1" customWidth="1"/>
    <col min="10" max="10" width="8.140625" style="455" bestFit="1" customWidth="1"/>
    <col min="11" max="12" width="9" style="455" bestFit="1" customWidth="1"/>
    <col min="13" max="13" width="16" style="455" customWidth="1"/>
    <col min="14" max="18" width="13.42578125" style="455" customWidth="1"/>
    <col min="19" max="19" width="8.85546875" style="455" customWidth="1"/>
    <col min="20" max="20" width="7.140625" style="455" bestFit="1" customWidth="1"/>
    <col min="21" max="23" width="6.7109375" style="455"/>
    <col min="24" max="24" width="7.7109375" style="455" customWidth="1"/>
    <col min="25" max="16384" width="6.7109375" style="455"/>
  </cols>
  <sheetData>
    <row r="1" spans="3:17" ht="14.1" customHeight="1" x14ac:dyDescent="0.2">
      <c r="C1" s="455" t="s">
        <v>296</v>
      </c>
      <c r="F1" s="456" t="s">
        <v>567</v>
      </c>
    </row>
    <row r="2" spans="3:17" ht="14.1" customHeight="1" x14ac:dyDescent="0.2"/>
    <row r="3" spans="3:17" ht="14.1" customHeight="1" x14ac:dyDescent="0.2">
      <c r="C3" s="457" t="s">
        <v>297</v>
      </c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</row>
    <row r="4" spans="3:17" ht="55.5" customHeight="1" x14ac:dyDescent="0.2">
      <c r="C4" s="458" t="s">
        <v>298</v>
      </c>
      <c r="D4" s="458" t="s">
        <v>299</v>
      </c>
      <c r="E4" s="459"/>
      <c r="F4" s="460"/>
      <c r="G4" s="458" t="s">
        <v>300</v>
      </c>
      <c r="H4" s="458" t="s">
        <v>301</v>
      </c>
      <c r="I4" s="458" t="s">
        <v>302</v>
      </c>
      <c r="J4" s="458" t="s">
        <v>303</v>
      </c>
      <c r="K4" s="458" t="s">
        <v>304</v>
      </c>
      <c r="L4" s="458" t="s">
        <v>305</v>
      </c>
      <c r="M4" s="458" t="s">
        <v>306</v>
      </c>
      <c r="N4" s="458" t="s">
        <v>307</v>
      </c>
      <c r="O4" s="458" t="s">
        <v>308</v>
      </c>
      <c r="P4" s="458" t="s">
        <v>309</v>
      </c>
      <c r="Q4" s="458" t="s">
        <v>97</v>
      </c>
    </row>
    <row r="5" spans="3:17" ht="14.1" customHeight="1" x14ac:dyDescent="0.2">
      <c r="C5" s="754">
        <f>'Rent Roll'!C7</f>
        <v>9</v>
      </c>
      <c r="D5" s="461">
        <f t="shared" ref="D5:D17" si="0">IF(C5="","",C5/$C$18)</f>
        <v>0.11538461538461539</v>
      </c>
      <c r="E5" s="753">
        <v>1</v>
      </c>
      <c r="F5" s="753" t="str">
        <f>'Rent Roll'!D7</f>
        <v>Studio</v>
      </c>
      <c r="G5" s="754">
        <f>'Rent Roll'!E7</f>
        <v>288</v>
      </c>
      <c r="H5" s="463">
        <f>'Rent Roll'!G7</f>
        <v>885</v>
      </c>
      <c r="I5" s="462">
        <f t="shared" ref="I5:I17" si="1">IF(C5="","",H5*C5)</f>
        <v>7965</v>
      </c>
      <c r="J5" s="463">
        <v>75</v>
      </c>
      <c r="K5" s="462">
        <f t="shared" ref="K5:K17" si="2">IF(H5="","",H5+J5)</f>
        <v>960</v>
      </c>
      <c r="L5" s="462">
        <f>IF(C5="","",(N5*K5)+H5*(C5-N5))</f>
        <v>8640</v>
      </c>
      <c r="M5" s="464">
        <f t="shared" ref="M5:M17" si="3">IF(K5="","",K5/G5)</f>
        <v>3.3333333333333335</v>
      </c>
      <c r="N5" s="465">
        <v>9</v>
      </c>
      <c r="O5" s="463">
        <v>4800</v>
      </c>
      <c r="P5" s="462">
        <f t="shared" ref="P5:P17" si="4">IF(N5="","",N5*O5)</f>
        <v>43200</v>
      </c>
      <c r="Q5" s="466">
        <f t="shared" ref="Q5:Q17" si="5">IF(AND(G5&lt;&gt;"",C5&lt;&gt;""),G5*C5,"")</f>
        <v>2592</v>
      </c>
    </row>
    <row r="6" spans="3:17" ht="14.1" customHeight="1" x14ac:dyDescent="0.2">
      <c r="C6" s="754">
        <f>'Rent Roll'!C8</f>
        <v>53</v>
      </c>
      <c r="D6" s="468">
        <f t="shared" si="0"/>
        <v>0.67948717948717952</v>
      </c>
      <c r="E6" s="755">
        <v>2</v>
      </c>
      <c r="F6" s="753" t="str">
        <f>'Rent Roll'!D8</f>
        <v>1 Bed/ 1 Bath</v>
      </c>
      <c r="G6" s="754">
        <f>'Rent Roll'!E8</f>
        <v>576</v>
      </c>
      <c r="H6" s="463">
        <f>'Rent Roll'!G8</f>
        <v>933</v>
      </c>
      <c r="I6" s="470">
        <f t="shared" si="1"/>
        <v>49449</v>
      </c>
      <c r="J6" s="471">
        <v>100</v>
      </c>
      <c r="K6" s="470">
        <f t="shared" si="2"/>
        <v>1033</v>
      </c>
      <c r="L6" s="470">
        <f t="shared" ref="L6:L17" si="6">IF(C6="","",(N6*K6)+H6*(C6-N6))</f>
        <v>54749</v>
      </c>
      <c r="M6" s="472">
        <f t="shared" si="3"/>
        <v>1.7934027777777777</v>
      </c>
      <c r="N6" s="473">
        <v>53</v>
      </c>
      <c r="O6" s="471">
        <v>6000</v>
      </c>
      <c r="P6" s="470">
        <f t="shared" si="4"/>
        <v>318000</v>
      </c>
      <c r="Q6" s="474">
        <f t="shared" si="5"/>
        <v>30528</v>
      </c>
    </row>
    <row r="7" spans="3:17" ht="14.1" customHeight="1" x14ac:dyDescent="0.2">
      <c r="C7" s="754">
        <f>'Rent Roll'!C9</f>
        <v>12</v>
      </c>
      <c r="D7" s="468">
        <f t="shared" si="0"/>
        <v>0.15384615384615385</v>
      </c>
      <c r="E7" s="455">
        <v>3</v>
      </c>
      <c r="F7" s="753" t="str">
        <f>'Rent Roll'!D9</f>
        <v>2 Bed/ 1 Bath</v>
      </c>
      <c r="G7" s="754">
        <f>'Rent Roll'!E9</f>
        <v>864</v>
      </c>
      <c r="H7" s="463">
        <f>'Rent Roll'!G9</f>
        <v>1096</v>
      </c>
      <c r="I7" s="470">
        <f t="shared" si="1"/>
        <v>13152</v>
      </c>
      <c r="J7" s="471">
        <v>125</v>
      </c>
      <c r="K7" s="470">
        <f t="shared" si="2"/>
        <v>1221</v>
      </c>
      <c r="L7" s="470">
        <f t="shared" si="6"/>
        <v>14652</v>
      </c>
      <c r="M7" s="472">
        <f t="shared" si="3"/>
        <v>1.4131944444444444</v>
      </c>
      <c r="N7" s="473">
        <v>12</v>
      </c>
      <c r="O7" s="471">
        <v>8000</v>
      </c>
      <c r="P7" s="470">
        <f t="shared" si="4"/>
        <v>96000</v>
      </c>
      <c r="Q7" s="474">
        <f t="shared" si="5"/>
        <v>10368</v>
      </c>
    </row>
    <row r="8" spans="3:17" ht="14.1" customHeight="1" x14ac:dyDescent="0.2">
      <c r="C8" s="754">
        <f>'Rent Roll'!C10</f>
        <v>4</v>
      </c>
      <c r="D8" s="468">
        <f t="shared" si="0"/>
        <v>5.128205128205128E-2</v>
      </c>
      <c r="E8" s="455">
        <v>4</v>
      </c>
      <c r="F8" s="753" t="str">
        <f>'Rent Roll'!D10</f>
        <v>2 Bed/ 2 Bath</v>
      </c>
      <c r="G8" s="754">
        <f>'Rent Roll'!E10</f>
        <v>864</v>
      </c>
      <c r="H8" s="463">
        <f>'Rent Roll'!G10</f>
        <v>1128</v>
      </c>
      <c r="I8" s="470">
        <f t="shared" si="1"/>
        <v>4512</v>
      </c>
      <c r="J8" s="471">
        <v>200</v>
      </c>
      <c r="K8" s="470">
        <f t="shared" si="2"/>
        <v>1328</v>
      </c>
      <c r="L8" s="470">
        <f t="shared" si="6"/>
        <v>5312</v>
      </c>
      <c r="M8" s="472">
        <f t="shared" si="3"/>
        <v>1.537037037037037</v>
      </c>
      <c r="N8" s="473">
        <v>4</v>
      </c>
      <c r="O8" s="471">
        <v>10000</v>
      </c>
      <c r="P8" s="470">
        <f t="shared" si="4"/>
        <v>40000</v>
      </c>
      <c r="Q8" s="474">
        <f t="shared" si="5"/>
        <v>3456</v>
      </c>
    </row>
    <row r="9" spans="3:17" ht="14.1" customHeight="1" x14ac:dyDescent="0.2">
      <c r="C9" s="467" t="s">
        <v>340</v>
      </c>
      <c r="D9" s="468" t="str">
        <f t="shared" si="0"/>
        <v/>
      </c>
      <c r="E9" s="455" t="s">
        <v>340</v>
      </c>
      <c r="F9" s="455" t="s">
        <v>340</v>
      </c>
      <c r="G9" s="467" t="s">
        <v>340</v>
      </c>
      <c r="H9" s="470" t="s">
        <v>340</v>
      </c>
      <c r="I9" s="470" t="str">
        <f t="shared" si="1"/>
        <v/>
      </c>
      <c r="J9" s="471"/>
      <c r="K9" s="470" t="str">
        <f t="shared" si="2"/>
        <v/>
      </c>
      <c r="L9" s="470" t="str">
        <f t="shared" si="6"/>
        <v/>
      </c>
      <c r="M9" s="472" t="str">
        <f t="shared" si="3"/>
        <v/>
      </c>
      <c r="N9" s="473"/>
      <c r="O9" s="471"/>
      <c r="P9" s="470" t="str">
        <f t="shared" si="4"/>
        <v/>
      </c>
      <c r="Q9" s="474" t="str">
        <f t="shared" si="5"/>
        <v/>
      </c>
    </row>
    <row r="10" spans="3:17" ht="14.1" customHeight="1" x14ac:dyDescent="0.2">
      <c r="C10" s="467" t="s">
        <v>340</v>
      </c>
      <c r="D10" s="468" t="str">
        <f t="shared" si="0"/>
        <v/>
      </c>
      <c r="E10" s="455" t="s">
        <v>340</v>
      </c>
      <c r="F10" s="455" t="s">
        <v>340</v>
      </c>
      <c r="G10" s="467" t="s">
        <v>340</v>
      </c>
      <c r="H10" s="470" t="s">
        <v>340</v>
      </c>
      <c r="I10" s="470" t="str">
        <f t="shared" si="1"/>
        <v/>
      </c>
      <c r="J10" s="475"/>
      <c r="K10" s="470" t="str">
        <f t="shared" si="2"/>
        <v/>
      </c>
      <c r="L10" s="470" t="str">
        <f t="shared" si="6"/>
        <v/>
      </c>
      <c r="M10" s="476" t="str">
        <f t="shared" si="3"/>
        <v/>
      </c>
      <c r="N10" s="473"/>
      <c r="O10" s="471"/>
      <c r="P10" s="470" t="str">
        <f t="shared" si="4"/>
        <v/>
      </c>
      <c r="Q10" s="474" t="str">
        <f t="shared" si="5"/>
        <v/>
      </c>
    </row>
    <row r="11" spans="3:17" ht="14.1" customHeight="1" x14ac:dyDescent="0.2">
      <c r="C11" s="467" t="s">
        <v>340</v>
      </c>
      <c r="D11" s="468" t="str">
        <f t="shared" si="0"/>
        <v/>
      </c>
      <c r="E11" s="455" t="s">
        <v>340</v>
      </c>
      <c r="F11" s="455" t="s">
        <v>340</v>
      </c>
      <c r="G11" s="467" t="s">
        <v>340</v>
      </c>
      <c r="H11" s="470" t="s">
        <v>340</v>
      </c>
      <c r="I11" s="470" t="str">
        <f t="shared" si="1"/>
        <v/>
      </c>
      <c r="J11" s="475"/>
      <c r="K11" s="470" t="str">
        <f t="shared" si="2"/>
        <v/>
      </c>
      <c r="L11" s="470" t="str">
        <f t="shared" si="6"/>
        <v/>
      </c>
      <c r="M11" s="476" t="str">
        <f t="shared" si="3"/>
        <v/>
      </c>
      <c r="N11" s="473"/>
      <c r="O11" s="471"/>
      <c r="P11" s="470" t="str">
        <f t="shared" si="4"/>
        <v/>
      </c>
      <c r="Q11" s="474" t="str">
        <f t="shared" si="5"/>
        <v/>
      </c>
    </row>
    <row r="12" spans="3:17" ht="14.1" customHeight="1" x14ac:dyDescent="0.2">
      <c r="C12" s="467" t="s">
        <v>340</v>
      </c>
      <c r="D12" s="468" t="str">
        <f t="shared" si="0"/>
        <v/>
      </c>
      <c r="E12" s="455" t="s">
        <v>340</v>
      </c>
      <c r="F12" s="455" t="s">
        <v>340</v>
      </c>
      <c r="G12" s="467" t="s">
        <v>340</v>
      </c>
      <c r="H12" s="470" t="s">
        <v>340</v>
      </c>
      <c r="I12" s="470" t="str">
        <f t="shared" si="1"/>
        <v/>
      </c>
      <c r="J12" s="475"/>
      <c r="K12" s="470" t="str">
        <f t="shared" si="2"/>
        <v/>
      </c>
      <c r="L12" s="470" t="str">
        <f t="shared" si="6"/>
        <v/>
      </c>
      <c r="M12" s="476" t="str">
        <f t="shared" si="3"/>
        <v/>
      </c>
      <c r="N12" s="473"/>
      <c r="O12" s="471"/>
      <c r="P12" s="470" t="str">
        <f t="shared" si="4"/>
        <v/>
      </c>
      <c r="Q12" s="474" t="str">
        <f t="shared" si="5"/>
        <v/>
      </c>
    </row>
    <row r="13" spans="3:17" ht="14.1" customHeight="1" x14ac:dyDescent="0.2">
      <c r="C13" s="467" t="s">
        <v>340</v>
      </c>
      <c r="D13" s="468" t="str">
        <f t="shared" si="0"/>
        <v/>
      </c>
      <c r="E13" s="455" t="s">
        <v>340</v>
      </c>
      <c r="F13" s="455" t="s">
        <v>340</v>
      </c>
      <c r="G13" s="467" t="s">
        <v>340</v>
      </c>
      <c r="H13" s="470" t="s">
        <v>340</v>
      </c>
      <c r="I13" s="470" t="str">
        <f t="shared" si="1"/>
        <v/>
      </c>
      <c r="J13" s="475"/>
      <c r="K13" s="470" t="str">
        <f t="shared" si="2"/>
        <v/>
      </c>
      <c r="L13" s="470" t="str">
        <f t="shared" si="6"/>
        <v/>
      </c>
      <c r="M13" s="476" t="str">
        <f t="shared" si="3"/>
        <v/>
      </c>
      <c r="N13" s="473"/>
      <c r="O13" s="471"/>
      <c r="P13" s="470" t="str">
        <f t="shared" si="4"/>
        <v/>
      </c>
      <c r="Q13" s="474" t="str">
        <f t="shared" si="5"/>
        <v/>
      </c>
    </row>
    <row r="14" spans="3:17" ht="14.1" customHeight="1" x14ac:dyDescent="0.2">
      <c r="C14" s="467" t="s">
        <v>340</v>
      </c>
      <c r="D14" s="468" t="str">
        <f t="shared" si="0"/>
        <v/>
      </c>
      <c r="E14" s="455" t="s">
        <v>340</v>
      </c>
      <c r="F14" s="455" t="s">
        <v>340</v>
      </c>
      <c r="G14" s="467" t="s">
        <v>340</v>
      </c>
      <c r="H14" s="470" t="s">
        <v>340</v>
      </c>
      <c r="I14" s="470" t="str">
        <f t="shared" si="1"/>
        <v/>
      </c>
      <c r="J14" s="475"/>
      <c r="K14" s="470" t="str">
        <f t="shared" si="2"/>
        <v/>
      </c>
      <c r="L14" s="470" t="str">
        <f t="shared" si="6"/>
        <v/>
      </c>
      <c r="M14" s="476" t="str">
        <f t="shared" si="3"/>
        <v/>
      </c>
      <c r="N14" s="473"/>
      <c r="O14" s="471"/>
      <c r="P14" s="470" t="str">
        <f t="shared" si="4"/>
        <v/>
      </c>
      <c r="Q14" s="474" t="str">
        <f t="shared" si="5"/>
        <v/>
      </c>
    </row>
    <row r="15" spans="3:17" ht="14.1" customHeight="1" x14ac:dyDescent="0.2">
      <c r="C15" s="467" t="s">
        <v>340</v>
      </c>
      <c r="D15" s="468" t="str">
        <f t="shared" si="0"/>
        <v/>
      </c>
      <c r="E15" s="455" t="s">
        <v>340</v>
      </c>
      <c r="F15" s="455" t="s">
        <v>340</v>
      </c>
      <c r="G15" s="467" t="s">
        <v>340</v>
      </c>
      <c r="H15" s="470" t="s">
        <v>340</v>
      </c>
      <c r="I15" s="470" t="str">
        <f t="shared" si="1"/>
        <v/>
      </c>
      <c r="J15" s="475"/>
      <c r="K15" s="470" t="str">
        <f t="shared" si="2"/>
        <v/>
      </c>
      <c r="L15" s="470" t="str">
        <f t="shared" si="6"/>
        <v/>
      </c>
      <c r="M15" s="476" t="str">
        <f t="shared" si="3"/>
        <v/>
      </c>
      <c r="N15" s="473"/>
      <c r="O15" s="471"/>
      <c r="P15" s="470" t="str">
        <f t="shared" si="4"/>
        <v/>
      </c>
      <c r="Q15" s="474" t="str">
        <f t="shared" si="5"/>
        <v/>
      </c>
    </row>
    <row r="16" spans="3:17" ht="14.1" customHeight="1" x14ac:dyDescent="0.2">
      <c r="C16" s="467" t="s">
        <v>340</v>
      </c>
      <c r="D16" s="468" t="str">
        <f t="shared" si="0"/>
        <v/>
      </c>
      <c r="E16" s="455" t="s">
        <v>340</v>
      </c>
      <c r="F16" s="455" t="s">
        <v>340</v>
      </c>
      <c r="G16" s="467" t="s">
        <v>340</v>
      </c>
      <c r="H16" s="470" t="s">
        <v>340</v>
      </c>
      <c r="I16" s="470" t="str">
        <f t="shared" si="1"/>
        <v/>
      </c>
      <c r="J16" s="475"/>
      <c r="K16" s="470" t="str">
        <f t="shared" si="2"/>
        <v/>
      </c>
      <c r="L16" s="470" t="str">
        <f t="shared" si="6"/>
        <v/>
      </c>
      <c r="M16" s="476" t="str">
        <f t="shared" si="3"/>
        <v/>
      </c>
      <c r="N16" s="473"/>
      <c r="O16" s="471"/>
      <c r="P16" s="470" t="str">
        <f t="shared" si="4"/>
        <v/>
      </c>
      <c r="Q16" s="474" t="str">
        <f t="shared" si="5"/>
        <v/>
      </c>
    </row>
    <row r="17" spans="2:20" ht="14.1" customHeight="1" x14ac:dyDescent="0.2">
      <c r="C17" s="467" t="s">
        <v>340</v>
      </c>
      <c r="D17" s="468" t="str">
        <f t="shared" si="0"/>
        <v/>
      </c>
      <c r="E17" s="455" t="s">
        <v>340</v>
      </c>
      <c r="F17" s="455" t="s">
        <v>340</v>
      </c>
      <c r="G17" s="467" t="s">
        <v>340</v>
      </c>
      <c r="H17" s="470" t="s">
        <v>340</v>
      </c>
      <c r="I17" s="470" t="str">
        <f t="shared" si="1"/>
        <v/>
      </c>
      <c r="J17" s="475"/>
      <c r="K17" s="470" t="str">
        <f t="shared" si="2"/>
        <v/>
      </c>
      <c r="L17" s="470" t="str">
        <f t="shared" si="6"/>
        <v/>
      </c>
      <c r="M17" s="476" t="str">
        <f t="shared" si="3"/>
        <v/>
      </c>
      <c r="N17" s="473"/>
      <c r="O17" s="471"/>
      <c r="P17" s="470" t="str">
        <f t="shared" si="4"/>
        <v/>
      </c>
      <c r="Q17" s="474" t="str">
        <f t="shared" si="5"/>
        <v/>
      </c>
    </row>
    <row r="18" spans="2:20" ht="14.1" customHeight="1" x14ac:dyDescent="0.2">
      <c r="C18" s="510">
        <f>SUM(C5:C17)</f>
        <v>78</v>
      </c>
      <c r="D18" s="554">
        <f>SUM(D5:D17)</f>
        <v>1</v>
      </c>
      <c r="E18" s="512"/>
      <c r="F18" s="512"/>
      <c r="G18" s="510">
        <f>SUMPRODUCT($C$5:$C$17,G5:G17)/$C$18</f>
        <v>601.84615384615381</v>
      </c>
      <c r="H18" s="555">
        <f>SUMPRODUCT($C$5:$C$17,H5:H17)/$C$18</f>
        <v>962.53846153846155</v>
      </c>
      <c r="I18" s="555">
        <f>SUM(I5:I17)</f>
        <v>75078</v>
      </c>
      <c r="J18" s="510">
        <f>K18-H18</f>
        <v>106.08974358974353</v>
      </c>
      <c r="K18" s="555">
        <f>SUMPRODUCT($C$5:$C$17,K5:K17)/$C$18</f>
        <v>1068.6282051282051</v>
      </c>
      <c r="L18" s="555">
        <f>SUM(L5:L17)</f>
        <v>83353</v>
      </c>
      <c r="M18" s="556">
        <f>IF(K18="","",K18/G$18)</f>
        <v>1.7755836741649624</v>
      </c>
      <c r="N18" s="510">
        <f>SUM(N5:N17)</f>
        <v>78</v>
      </c>
      <c r="O18" s="557">
        <f>P18/N18</f>
        <v>6374.3589743589746</v>
      </c>
      <c r="P18" s="555">
        <f>SUM(P5:P17)</f>
        <v>497200</v>
      </c>
      <c r="Q18" s="516">
        <f>SUM(Q5:Q17)</f>
        <v>46944</v>
      </c>
      <c r="T18" s="469" t="s">
        <v>310</v>
      </c>
    </row>
    <row r="19" spans="2:20" ht="14.1" customHeight="1" thickBot="1" x14ac:dyDescent="0.25">
      <c r="T19" s="469" t="s">
        <v>311</v>
      </c>
    </row>
    <row r="20" spans="2:20" ht="14.1" customHeight="1" thickBot="1" x14ac:dyDescent="0.25">
      <c r="B20" s="457" t="s">
        <v>312</v>
      </c>
      <c r="C20" s="457"/>
      <c r="D20" s="457"/>
      <c r="E20" s="457"/>
      <c r="F20" s="457"/>
      <c r="G20" s="457"/>
      <c r="H20" s="457"/>
      <c r="I20" s="457"/>
      <c r="K20" s="477" t="s">
        <v>313</v>
      </c>
      <c r="L20" s="478"/>
      <c r="N20" s="457" t="s">
        <v>75</v>
      </c>
      <c r="O20" s="457"/>
      <c r="P20" s="457"/>
      <c r="Q20" s="457"/>
      <c r="R20" s="457"/>
      <c r="T20" s="479" t="s">
        <v>314</v>
      </c>
    </row>
    <row r="21" spans="2:20" ht="14.1" customHeight="1" x14ac:dyDescent="0.2">
      <c r="B21" s="480"/>
      <c r="C21" s="458"/>
      <c r="D21" s="458" t="s">
        <v>315</v>
      </c>
      <c r="E21" s="458" t="s">
        <v>316</v>
      </c>
      <c r="F21" s="458" t="s">
        <v>317</v>
      </c>
      <c r="G21" s="458" t="s">
        <v>318</v>
      </c>
      <c r="H21" s="458" t="s">
        <v>319</v>
      </c>
      <c r="I21" s="458"/>
      <c r="J21" s="480"/>
      <c r="K21" s="481">
        <v>1</v>
      </c>
      <c r="L21" s="482">
        <f>'Operating Statement'!H45</f>
        <v>0.03</v>
      </c>
      <c r="N21" s="483" t="s">
        <v>316</v>
      </c>
      <c r="O21" s="484" t="s">
        <v>320</v>
      </c>
      <c r="P21" s="484" t="s">
        <v>321</v>
      </c>
      <c r="Q21" s="484" t="s">
        <v>322</v>
      </c>
      <c r="R21" s="484" t="s">
        <v>323</v>
      </c>
      <c r="T21" s="485">
        <f>(1+L21)</f>
        <v>1.03</v>
      </c>
    </row>
    <row r="22" spans="2:20" ht="13.5" customHeight="1" x14ac:dyDescent="0.2">
      <c r="B22" s="480"/>
      <c r="C22" s="486" t="s">
        <v>175</v>
      </c>
      <c r="D22" s="486" t="s">
        <v>298</v>
      </c>
      <c r="E22" s="486" t="s">
        <v>298</v>
      </c>
      <c r="F22" s="486" t="s">
        <v>298</v>
      </c>
      <c r="G22" s="486" t="s">
        <v>324</v>
      </c>
      <c r="H22" s="486" t="s">
        <v>32</v>
      </c>
      <c r="I22" s="486" t="s">
        <v>325</v>
      </c>
      <c r="J22" s="480"/>
      <c r="K22" s="481">
        <f>K21+1</f>
        <v>2</v>
      </c>
      <c r="L22" s="482">
        <f>'Operating Statement'!I45</f>
        <v>0.03</v>
      </c>
      <c r="N22" s="487" t="s">
        <v>326</v>
      </c>
      <c r="O22" s="487" t="s">
        <v>321</v>
      </c>
      <c r="P22" s="487" t="s">
        <v>310</v>
      </c>
      <c r="Q22" s="487" t="s">
        <v>321</v>
      </c>
      <c r="R22" s="487" t="s">
        <v>311</v>
      </c>
      <c r="T22" s="485">
        <f>T21*(1+L22)</f>
        <v>1.0609</v>
      </c>
    </row>
    <row r="23" spans="2:20" ht="14.1" customHeight="1" x14ac:dyDescent="0.2">
      <c r="B23" s="488">
        <f>'Investment Assumption Summary'!K18</f>
        <v>45292</v>
      </c>
      <c r="C23" s="469">
        <v>1</v>
      </c>
      <c r="D23" s="489">
        <f>C18</f>
        <v>78</v>
      </c>
      <c r="E23" s="490">
        <v>0</v>
      </c>
      <c r="F23" s="491">
        <f>E23</f>
        <v>0</v>
      </c>
      <c r="G23" s="490">
        <v>0</v>
      </c>
      <c r="H23" s="491">
        <f>G23</f>
        <v>0</v>
      </c>
      <c r="I23" s="492">
        <f t="shared" ref="I23:I86" si="7">D23/$C$18</f>
        <v>1</v>
      </c>
      <c r="K23" s="481">
        <f t="shared" ref="K23:K31" si="8">K22+1</f>
        <v>3</v>
      </c>
      <c r="L23" s="482">
        <f>'Operating Statement'!J45</f>
        <v>0.03</v>
      </c>
      <c r="N23" s="474">
        <f t="shared" ref="N23:N86" si="9">IF($F$1="No",0,E23/SUM($E$23:$E$154)*$P$18)</f>
        <v>0</v>
      </c>
      <c r="O23" s="474">
        <f>IF($C23=1,$I$18,O22)*(1+(RATE(12,,-1,1+SUMIF($K$21:$K$31,ROUNDUP($C23/12,0),$L$21:$L$31))))</f>
        <v>75263.162601969336</v>
      </c>
      <c r="P23" s="474">
        <f>IF($F$1="No",0,G23/SUM($G$23:$G$154)*($L$18-$I$18)*(SUMIF($K$21:$K$31,ROUNDUP(C23/12,0),$T$21:$T$32)))</f>
        <v>0</v>
      </c>
      <c r="Q23" s="474">
        <f>SUM(O23,P23:P23)</f>
        <v>75263.162601969336</v>
      </c>
      <c r="T23" s="485">
        <f t="shared" ref="T23:T32" si="10">T22*(1+L23)</f>
        <v>1.092727</v>
      </c>
    </row>
    <row r="24" spans="2:20" ht="14.1" customHeight="1" x14ac:dyDescent="0.2">
      <c r="B24" s="493">
        <f t="shared" ref="B24:B87" si="11">EOMONTH(B23,1)</f>
        <v>45351</v>
      </c>
      <c r="C24" s="469">
        <f>C23+1</f>
        <v>2</v>
      </c>
      <c r="D24" s="494">
        <f t="shared" ref="D24:D87" si="12">D23-E24+G24</f>
        <v>78</v>
      </c>
      <c r="E24" s="490">
        <v>0</v>
      </c>
      <c r="F24" s="491">
        <f>E23+F23</f>
        <v>0</v>
      </c>
      <c r="G24" s="490">
        <v>0</v>
      </c>
      <c r="H24" s="491">
        <f t="shared" ref="H24:H87" si="13">G24+H23</f>
        <v>0</v>
      </c>
      <c r="I24" s="492">
        <f t="shared" si="7"/>
        <v>1</v>
      </c>
      <c r="K24" s="481">
        <f t="shared" si="8"/>
        <v>4</v>
      </c>
      <c r="L24" s="482">
        <f>'Operating Statement'!K45</f>
        <v>0.03</v>
      </c>
      <c r="N24" s="474">
        <f t="shared" si="9"/>
        <v>0</v>
      </c>
      <c r="O24" s="474">
        <f>IF($C24=1,$I$18,O23)*(1+(RATE(12,,-1,1+SUMIF($K$21:$K$31,ROUNDUP($C24/12,0),$L$21:$L$31))))</f>
        <v>75448.781864866876</v>
      </c>
      <c r="P24" s="474">
        <f t="shared" ref="P24:P87" si="14">IF($F$1="No",0,G24/SUM($G$23:$G$154)*($L$18-$I$18)*(SUMIF($K$21:$K$31,ROUNDUP(C24/12,0),$T$21:$T$32)))</f>
        <v>0</v>
      </c>
      <c r="Q24" s="474">
        <f>SUM(O24,P23:P24)</f>
        <v>75448.781864866876</v>
      </c>
      <c r="T24" s="485">
        <f t="shared" si="10"/>
        <v>1.1255088100000001</v>
      </c>
    </row>
    <row r="25" spans="2:20" ht="14.1" customHeight="1" x14ac:dyDescent="0.2">
      <c r="B25" s="493">
        <f t="shared" si="11"/>
        <v>45382</v>
      </c>
      <c r="C25" s="469">
        <f t="shared" ref="C25:C88" si="15">C24+1</f>
        <v>3</v>
      </c>
      <c r="D25" s="494">
        <f t="shared" si="12"/>
        <v>73</v>
      </c>
      <c r="E25" s="490">
        <v>5</v>
      </c>
      <c r="F25" s="491">
        <f t="shared" ref="F25:F88" si="16">E24+F24</f>
        <v>0</v>
      </c>
      <c r="G25" s="490">
        <v>0</v>
      </c>
      <c r="H25" s="491">
        <f t="shared" si="13"/>
        <v>0</v>
      </c>
      <c r="I25" s="492">
        <f t="shared" si="7"/>
        <v>0.9358974358974359</v>
      </c>
      <c r="K25" s="481">
        <f t="shared" si="8"/>
        <v>5</v>
      </c>
      <c r="L25" s="482">
        <f>'Operating Statement'!L45</f>
        <v>0.03</v>
      </c>
      <c r="N25" s="474">
        <f t="shared" si="9"/>
        <v>31871.794871794868</v>
      </c>
      <c r="O25" s="474">
        <f t="shared" ref="O25:O88" si="17">IF($C25=1,$I$18,O24)*(1+(RATE(12,,-1,1+SUMIF($K$21:$K$31,ROUNDUP($C25/12,0),$L$21:$L$31))))</f>
        <v>75634.858914941666</v>
      </c>
      <c r="P25" s="474">
        <f t="shared" si="14"/>
        <v>0</v>
      </c>
      <c r="Q25" s="474">
        <f>SUM(O25,P23:P25)</f>
        <v>75634.858914941666</v>
      </c>
      <c r="T25" s="485">
        <f t="shared" si="10"/>
        <v>1.1592740743000001</v>
      </c>
    </row>
    <row r="26" spans="2:20" ht="14.1" customHeight="1" x14ac:dyDescent="0.2">
      <c r="B26" s="493">
        <f t="shared" si="11"/>
        <v>45412</v>
      </c>
      <c r="C26" s="469">
        <f t="shared" si="15"/>
        <v>4</v>
      </c>
      <c r="D26" s="494">
        <f t="shared" si="12"/>
        <v>73</v>
      </c>
      <c r="E26" s="490">
        <v>5</v>
      </c>
      <c r="F26" s="491">
        <f t="shared" si="16"/>
        <v>5</v>
      </c>
      <c r="G26" s="490">
        <v>5</v>
      </c>
      <c r="H26" s="491">
        <f t="shared" si="13"/>
        <v>5</v>
      </c>
      <c r="I26" s="495">
        <f t="shared" si="7"/>
        <v>0.9358974358974359</v>
      </c>
      <c r="K26" s="481">
        <f t="shared" si="8"/>
        <v>6</v>
      </c>
      <c r="L26" s="482">
        <f>'Operating Statement'!M45</f>
        <v>0.03</v>
      </c>
      <c r="N26" s="474">
        <f t="shared" si="9"/>
        <v>31871.794871794868</v>
      </c>
      <c r="O26" s="474">
        <f t="shared" si="17"/>
        <v>75821.394881220389</v>
      </c>
      <c r="P26" s="474">
        <f t="shared" si="14"/>
        <v>546.36217948717945</v>
      </c>
      <c r="Q26" s="474">
        <f>SUM(O26,P23:P26)</f>
        <v>76367.757060707561</v>
      </c>
      <c r="T26" s="485">
        <f t="shared" si="10"/>
        <v>1.1940522965290001</v>
      </c>
    </row>
    <row r="27" spans="2:20" ht="14.1" customHeight="1" x14ac:dyDescent="0.2">
      <c r="B27" s="493">
        <f t="shared" si="11"/>
        <v>45443</v>
      </c>
      <c r="C27" s="469">
        <f t="shared" si="15"/>
        <v>5</v>
      </c>
      <c r="D27" s="494">
        <f t="shared" si="12"/>
        <v>73</v>
      </c>
      <c r="E27" s="490">
        <v>5</v>
      </c>
      <c r="F27" s="491">
        <f t="shared" si="16"/>
        <v>10</v>
      </c>
      <c r="G27" s="490">
        <v>5</v>
      </c>
      <c r="H27" s="491">
        <f t="shared" si="13"/>
        <v>10</v>
      </c>
      <c r="I27" s="495">
        <f t="shared" si="7"/>
        <v>0.9358974358974359</v>
      </c>
      <c r="K27" s="481">
        <f t="shared" si="8"/>
        <v>7</v>
      </c>
      <c r="L27" s="482">
        <f>'Operating Statement'!N45</f>
        <v>0.03</v>
      </c>
      <c r="N27" s="474">
        <f t="shared" si="9"/>
        <v>31871.794871794868</v>
      </c>
      <c r="O27" s="474">
        <f t="shared" si="17"/>
        <v>76008.390895514211</v>
      </c>
      <c r="P27" s="474">
        <f t="shared" si="14"/>
        <v>546.36217948717945</v>
      </c>
      <c r="Q27" s="474">
        <f>SUM(O27,P23:P27)</f>
        <v>77101.115254488555</v>
      </c>
      <c r="T27" s="485">
        <f t="shared" si="10"/>
        <v>1.2298738654248702</v>
      </c>
    </row>
    <row r="28" spans="2:20" ht="14.1" customHeight="1" x14ac:dyDescent="0.2">
      <c r="B28" s="493">
        <f t="shared" si="11"/>
        <v>45473</v>
      </c>
      <c r="C28" s="469">
        <f t="shared" si="15"/>
        <v>6</v>
      </c>
      <c r="D28" s="494">
        <f t="shared" si="12"/>
        <v>73</v>
      </c>
      <c r="E28" s="490">
        <v>5</v>
      </c>
      <c r="F28" s="491">
        <f t="shared" si="16"/>
        <v>15</v>
      </c>
      <c r="G28" s="490">
        <v>5</v>
      </c>
      <c r="H28" s="491">
        <f t="shared" si="13"/>
        <v>15</v>
      </c>
      <c r="I28" s="495">
        <f t="shared" si="7"/>
        <v>0.9358974358974359</v>
      </c>
      <c r="K28" s="481">
        <f t="shared" si="8"/>
        <v>8</v>
      </c>
      <c r="L28" s="482">
        <f>'Operating Statement'!O45</f>
        <v>0.03</v>
      </c>
      <c r="N28" s="474">
        <f t="shared" si="9"/>
        <v>31871.794871794868</v>
      </c>
      <c r="O28" s="474">
        <f t="shared" si="17"/>
        <v>76195.848092425629</v>
      </c>
      <c r="P28" s="474">
        <f t="shared" si="14"/>
        <v>546.36217948717945</v>
      </c>
      <c r="Q28" s="474">
        <f>SUM(O28,P23:P28)</f>
        <v>77834.934630887146</v>
      </c>
      <c r="T28" s="485">
        <f t="shared" si="10"/>
        <v>1.2667700813876164</v>
      </c>
    </row>
    <row r="29" spans="2:20" ht="14.1" customHeight="1" x14ac:dyDescent="0.2">
      <c r="B29" s="493">
        <f t="shared" si="11"/>
        <v>45504</v>
      </c>
      <c r="C29" s="469">
        <f t="shared" si="15"/>
        <v>7</v>
      </c>
      <c r="D29" s="494">
        <f t="shared" si="12"/>
        <v>73</v>
      </c>
      <c r="E29" s="490">
        <v>5</v>
      </c>
      <c r="F29" s="491">
        <f t="shared" si="16"/>
        <v>20</v>
      </c>
      <c r="G29" s="490">
        <v>5</v>
      </c>
      <c r="H29" s="491">
        <f t="shared" si="13"/>
        <v>20</v>
      </c>
      <c r="I29" s="495">
        <f t="shared" si="7"/>
        <v>0.9358974358974359</v>
      </c>
      <c r="K29" s="481">
        <f t="shared" si="8"/>
        <v>9</v>
      </c>
      <c r="L29" s="482">
        <f>'Operating Statement'!P45</f>
        <v>0.03</v>
      </c>
      <c r="N29" s="474">
        <f t="shared" si="9"/>
        <v>31871.794871794868</v>
      </c>
      <c r="O29" s="474">
        <f t="shared" si="17"/>
        <v>76383.767609355404</v>
      </c>
      <c r="P29" s="474">
        <f t="shared" si="14"/>
        <v>546.36217948717945</v>
      </c>
      <c r="Q29" s="474">
        <f>SUM(O29,P23:P29)</f>
        <v>78569.216327304093</v>
      </c>
      <c r="T29" s="485">
        <f t="shared" si="10"/>
        <v>1.3047731838292449</v>
      </c>
    </row>
    <row r="30" spans="2:20" ht="14.1" customHeight="1" x14ac:dyDescent="0.2">
      <c r="B30" s="493">
        <f t="shared" si="11"/>
        <v>45535</v>
      </c>
      <c r="C30" s="469">
        <f t="shared" si="15"/>
        <v>8</v>
      </c>
      <c r="D30" s="494">
        <f t="shared" si="12"/>
        <v>73</v>
      </c>
      <c r="E30" s="490">
        <v>5</v>
      </c>
      <c r="F30" s="491">
        <f t="shared" si="16"/>
        <v>25</v>
      </c>
      <c r="G30" s="490">
        <v>5</v>
      </c>
      <c r="H30" s="491">
        <f t="shared" si="13"/>
        <v>25</v>
      </c>
      <c r="I30" s="495">
        <f t="shared" si="7"/>
        <v>0.9358974358974359</v>
      </c>
      <c r="K30" s="481">
        <f t="shared" si="8"/>
        <v>10</v>
      </c>
      <c r="L30" s="482">
        <f>'Operating Statement'!Q45</f>
        <v>0.03</v>
      </c>
      <c r="N30" s="474">
        <f t="shared" si="9"/>
        <v>31871.794871794868</v>
      </c>
      <c r="O30" s="474">
        <f t="shared" si="17"/>
        <v>76572.150586509422</v>
      </c>
      <c r="P30" s="474">
        <f t="shared" si="14"/>
        <v>546.36217948717945</v>
      </c>
      <c r="Q30" s="474">
        <f>SUM(O30,P23:P30)</f>
        <v>79303.961483945284</v>
      </c>
      <c r="T30" s="485">
        <f t="shared" si="10"/>
        <v>1.3439163793441222</v>
      </c>
    </row>
    <row r="31" spans="2:20" ht="14.1" customHeight="1" thickBot="1" x14ac:dyDescent="0.25">
      <c r="B31" s="493">
        <f t="shared" si="11"/>
        <v>45565</v>
      </c>
      <c r="C31" s="469">
        <f t="shared" si="15"/>
        <v>9</v>
      </c>
      <c r="D31" s="494">
        <f t="shared" si="12"/>
        <v>73</v>
      </c>
      <c r="E31" s="490">
        <v>5</v>
      </c>
      <c r="F31" s="491">
        <f t="shared" si="16"/>
        <v>30</v>
      </c>
      <c r="G31" s="490">
        <v>5</v>
      </c>
      <c r="H31" s="491">
        <f t="shared" si="13"/>
        <v>30</v>
      </c>
      <c r="I31" s="495">
        <f t="shared" si="7"/>
        <v>0.9358974358974359</v>
      </c>
      <c r="K31" s="496">
        <f t="shared" si="8"/>
        <v>11</v>
      </c>
      <c r="L31" s="497">
        <f>'Operating Statement'!R45</f>
        <v>0.03</v>
      </c>
      <c r="N31" s="474">
        <f t="shared" si="9"/>
        <v>31871.794871794868</v>
      </c>
      <c r="O31" s="474">
        <f t="shared" si="17"/>
        <v>76760.998166905614</v>
      </c>
      <c r="P31" s="474">
        <f t="shared" si="14"/>
        <v>546.36217948717945</v>
      </c>
      <c r="Q31" s="474">
        <f>SUM(O31,P23:P31)</f>
        <v>80039.171243828649</v>
      </c>
      <c r="T31" s="485">
        <f t="shared" si="10"/>
        <v>1.3842338707244459</v>
      </c>
    </row>
    <row r="32" spans="2:20" ht="14.1" customHeight="1" x14ac:dyDescent="0.2">
      <c r="B32" s="493">
        <f t="shared" si="11"/>
        <v>45596</v>
      </c>
      <c r="C32" s="469">
        <f t="shared" si="15"/>
        <v>10</v>
      </c>
      <c r="D32" s="494">
        <f t="shared" si="12"/>
        <v>73</v>
      </c>
      <c r="E32" s="490">
        <v>5</v>
      </c>
      <c r="F32" s="491">
        <f t="shared" si="16"/>
        <v>35</v>
      </c>
      <c r="G32" s="490">
        <v>5</v>
      </c>
      <c r="H32" s="491">
        <f t="shared" si="13"/>
        <v>35</v>
      </c>
      <c r="I32" s="492">
        <f t="shared" si="7"/>
        <v>0.9358974358974359</v>
      </c>
      <c r="K32" s="552"/>
      <c r="L32" s="553"/>
      <c r="N32" s="474">
        <f t="shared" si="9"/>
        <v>31871.794871794868</v>
      </c>
      <c r="O32" s="474">
        <f t="shared" si="17"/>
        <v>76950.31149638092</v>
      </c>
      <c r="P32" s="474">
        <f t="shared" si="14"/>
        <v>546.36217948717945</v>
      </c>
      <c r="Q32" s="474">
        <f>SUM(O32,P23:P32)</f>
        <v>80774.846752791127</v>
      </c>
      <c r="T32" s="485">
        <f t="shared" si="10"/>
        <v>1.3842338707244459</v>
      </c>
    </row>
    <row r="33" spans="2:18" ht="14.1" customHeight="1" thickBot="1" x14ac:dyDescent="0.25">
      <c r="B33" s="493">
        <f t="shared" si="11"/>
        <v>45626</v>
      </c>
      <c r="C33" s="469">
        <f t="shared" si="15"/>
        <v>11</v>
      </c>
      <c r="D33" s="494">
        <f t="shared" si="12"/>
        <v>73</v>
      </c>
      <c r="E33" s="490">
        <v>5</v>
      </c>
      <c r="F33" s="491">
        <f t="shared" si="16"/>
        <v>40</v>
      </c>
      <c r="G33" s="490">
        <v>5</v>
      </c>
      <c r="H33" s="491">
        <f t="shared" si="13"/>
        <v>40</v>
      </c>
      <c r="I33" s="492">
        <f t="shared" si="7"/>
        <v>0.9358974358974359</v>
      </c>
      <c r="N33" s="474">
        <f t="shared" si="9"/>
        <v>31871.794871794868</v>
      </c>
      <c r="O33" s="474">
        <f t="shared" si="17"/>
        <v>77140.09172359822</v>
      </c>
      <c r="P33" s="474">
        <f t="shared" si="14"/>
        <v>546.36217948717945</v>
      </c>
      <c r="Q33" s="474">
        <f>SUM(O33,P23:P33)</f>
        <v>81510.989159495599</v>
      </c>
    </row>
    <row r="34" spans="2:18" ht="14.1" customHeight="1" thickBot="1" x14ac:dyDescent="0.25">
      <c r="B34" s="493">
        <f t="shared" si="11"/>
        <v>45657</v>
      </c>
      <c r="C34" s="469">
        <f t="shared" si="15"/>
        <v>12</v>
      </c>
      <c r="D34" s="494">
        <f t="shared" si="12"/>
        <v>73</v>
      </c>
      <c r="E34" s="490">
        <v>5</v>
      </c>
      <c r="F34" s="491">
        <f t="shared" si="16"/>
        <v>45</v>
      </c>
      <c r="G34" s="490">
        <v>5</v>
      </c>
      <c r="H34" s="491">
        <f t="shared" si="13"/>
        <v>45</v>
      </c>
      <c r="I34" s="492">
        <f t="shared" si="7"/>
        <v>0.9358974358974359</v>
      </c>
      <c r="J34" s="498">
        <f>IF($F$1="No",1,AVERAGE(I23:I34))</f>
        <v>0.94658119658119677</v>
      </c>
      <c r="K34" s="499" t="s">
        <v>327</v>
      </c>
      <c r="L34" s="500"/>
      <c r="N34" s="474">
        <f t="shared" si="9"/>
        <v>31871.794871794868</v>
      </c>
      <c r="O34" s="474">
        <f t="shared" si="17"/>
        <v>77330.3400000533</v>
      </c>
      <c r="P34" s="474">
        <f t="shared" si="14"/>
        <v>546.36217948717945</v>
      </c>
      <c r="Q34" s="474">
        <f>SUM(O34,P23:P34)</f>
        <v>82247.599615437852</v>
      </c>
      <c r="R34" s="501">
        <f>Q34/I18-1</f>
        <v>9.5495346378937196E-2</v>
      </c>
    </row>
    <row r="35" spans="2:18" ht="14.1" customHeight="1" x14ac:dyDescent="0.2">
      <c r="B35" s="493">
        <f t="shared" si="11"/>
        <v>45688</v>
      </c>
      <c r="C35" s="469">
        <f t="shared" si="15"/>
        <v>13</v>
      </c>
      <c r="D35" s="494">
        <f t="shared" si="12"/>
        <v>73</v>
      </c>
      <c r="E35" s="490">
        <v>5</v>
      </c>
      <c r="F35" s="491">
        <f t="shared" si="16"/>
        <v>50</v>
      </c>
      <c r="G35" s="490">
        <v>5</v>
      </c>
      <c r="H35" s="491">
        <f t="shared" si="13"/>
        <v>50</v>
      </c>
      <c r="I35" s="492">
        <f t="shared" si="7"/>
        <v>0.9358974358974359</v>
      </c>
      <c r="N35" s="474">
        <f t="shared" si="9"/>
        <v>31871.794871794868</v>
      </c>
      <c r="O35" s="502">
        <f>IF($C35=1,$I$18,Q34)*(1+(RATE(12,,-1,1+SUMIF($K$21:$K$31,ROUNDUP($C35/12,0),$L$21:$L$31))))</f>
        <v>82450.444384218674</v>
      </c>
      <c r="P35" s="474">
        <f t="shared" si="14"/>
        <v>562.75304487179483</v>
      </c>
      <c r="Q35" s="474">
        <f>SUM(O35,P35:P35)</f>
        <v>83013.197429090462</v>
      </c>
    </row>
    <row r="36" spans="2:18" ht="14.1" customHeight="1" x14ac:dyDescent="0.2">
      <c r="B36" s="493">
        <f t="shared" si="11"/>
        <v>45716</v>
      </c>
      <c r="C36" s="469">
        <f t="shared" si="15"/>
        <v>14</v>
      </c>
      <c r="D36" s="494">
        <f t="shared" si="12"/>
        <v>73</v>
      </c>
      <c r="E36" s="490">
        <v>5</v>
      </c>
      <c r="F36" s="491">
        <f t="shared" si="16"/>
        <v>55</v>
      </c>
      <c r="G36" s="490">
        <v>5</v>
      </c>
      <c r="H36" s="491">
        <f t="shared" si="13"/>
        <v>55</v>
      </c>
      <c r="I36" s="492">
        <f t="shared" si="7"/>
        <v>0.9358974358974359</v>
      </c>
      <c r="N36" s="474">
        <f t="shared" si="9"/>
        <v>31871.794871794868</v>
      </c>
      <c r="O36" s="474">
        <f t="shared" si="17"/>
        <v>82653.789422921225</v>
      </c>
      <c r="P36" s="474">
        <f t="shared" si="14"/>
        <v>562.75304487179483</v>
      </c>
      <c r="Q36" s="474">
        <f>SUM(O36,P35:P36)</f>
        <v>83779.295512664801</v>
      </c>
    </row>
    <row r="37" spans="2:18" ht="14.1" customHeight="1" x14ac:dyDescent="0.2">
      <c r="B37" s="493">
        <f t="shared" si="11"/>
        <v>45747</v>
      </c>
      <c r="C37" s="469">
        <f t="shared" si="15"/>
        <v>15</v>
      </c>
      <c r="D37" s="494">
        <f t="shared" si="12"/>
        <v>73</v>
      </c>
      <c r="E37" s="490">
        <v>5</v>
      </c>
      <c r="F37" s="491">
        <f t="shared" si="16"/>
        <v>60</v>
      </c>
      <c r="G37" s="490">
        <v>5</v>
      </c>
      <c r="H37" s="491">
        <f t="shared" si="13"/>
        <v>60</v>
      </c>
      <c r="I37" s="492">
        <f t="shared" si="7"/>
        <v>0.9358974358974359</v>
      </c>
      <c r="N37" s="474">
        <f t="shared" si="9"/>
        <v>31871.794871794868</v>
      </c>
      <c r="O37" s="474">
        <f t="shared" si="17"/>
        <v>82857.635965346082</v>
      </c>
      <c r="P37" s="474">
        <f t="shared" si="14"/>
        <v>562.75304487179483</v>
      </c>
      <c r="Q37" s="474">
        <f>SUM(O37,P35:P37)</f>
        <v>84545.895099961446</v>
      </c>
    </row>
    <row r="38" spans="2:18" ht="14.1" customHeight="1" x14ac:dyDescent="0.2">
      <c r="B38" s="493">
        <f t="shared" si="11"/>
        <v>45777</v>
      </c>
      <c r="C38" s="469">
        <f t="shared" si="15"/>
        <v>16</v>
      </c>
      <c r="D38" s="494">
        <f t="shared" si="12"/>
        <v>73</v>
      </c>
      <c r="E38" s="490">
        <v>5</v>
      </c>
      <c r="F38" s="491">
        <f t="shared" si="16"/>
        <v>65</v>
      </c>
      <c r="G38" s="490">
        <v>5</v>
      </c>
      <c r="H38" s="491">
        <f t="shared" si="13"/>
        <v>65</v>
      </c>
      <c r="I38" s="492">
        <f t="shared" si="7"/>
        <v>0.9358974358974359</v>
      </c>
      <c r="N38" s="474">
        <f t="shared" si="9"/>
        <v>31871.794871794868</v>
      </c>
      <c r="O38" s="474">
        <f t="shared" si="17"/>
        <v>83061.985248336729</v>
      </c>
      <c r="P38" s="474">
        <f t="shared" si="14"/>
        <v>562.75304487179483</v>
      </c>
      <c r="Q38" s="474">
        <f>SUM(O38,P35:P38)</f>
        <v>85312.997427823881</v>
      </c>
    </row>
    <row r="39" spans="2:18" ht="14.1" customHeight="1" x14ac:dyDescent="0.2">
      <c r="B39" s="493">
        <f t="shared" si="11"/>
        <v>45808</v>
      </c>
      <c r="C39" s="469">
        <f t="shared" si="15"/>
        <v>17</v>
      </c>
      <c r="D39" s="494">
        <f t="shared" si="12"/>
        <v>73</v>
      </c>
      <c r="E39" s="490">
        <v>5</v>
      </c>
      <c r="F39" s="491">
        <f t="shared" si="16"/>
        <v>70</v>
      </c>
      <c r="G39" s="490">
        <v>5</v>
      </c>
      <c r="H39" s="491">
        <f t="shared" si="13"/>
        <v>70</v>
      </c>
      <c r="I39" s="492">
        <f t="shared" si="7"/>
        <v>0.9358974358974359</v>
      </c>
      <c r="N39" s="474">
        <f t="shared" si="9"/>
        <v>31871.794871794868</v>
      </c>
      <c r="O39" s="474">
        <f t="shared" si="17"/>
        <v>83266.83851178702</v>
      </c>
      <c r="P39" s="474">
        <f t="shared" si="14"/>
        <v>562.75304487179483</v>
      </c>
      <c r="Q39" s="474">
        <f>SUM(O39,P35:P39)</f>
        <v>86080.60373614596</v>
      </c>
    </row>
    <row r="40" spans="2:18" ht="14.1" customHeight="1" x14ac:dyDescent="0.2">
      <c r="B40" s="493">
        <f t="shared" si="11"/>
        <v>45838</v>
      </c>
      <c r="C40" s="469">
        <f t="shared" si="15"/>
        <v>18</v>
      </c>
      <c r="D40" s="494">
        <f t="shared" si="12"/>
        <v>75</v>
      </c>
      <c r="E40" s="490">
        <v>3</v>
      </c>
      <c r="F40" s="491">
        <f t="shared" si="16"/>
        <v>75</v>
      </c>
      <c r="G40" s="490">
        <v>5</v>
      </c>
      <c r="H40" s="491">
        <f t="shared" si="13"/>
        <v>75</v>
      </c>
      <c r="I40" s="495">
        <f t="shared" si="7"/>
        <v>0.96153846153846156</v>
      </c>
      <c r="N40" s="474">
        <f t="shared" si="9"/>
        <v>19123.076923076926</v>
      </c>
      <c r="O40" s="474">
        <f t="shared" si="17"/>
        <v>83472.196998648724</v>
      </c>
      <c r="P40" s="474">
        <f t="shared" si="14"/>
        <v>562.75304487179483</v>
      </c>
      <c r="Q40" s="474">
        <f>SUM(O40,P35:P40)</f>
        <v>86848.715267879452</v>
      </c>
    </row>
    <row r="41" spans="2:18" ht="14.1" customHeight="1" x14ac:dyDescent="0.2">
      <c r="B41" s="493">
        <f t="shared" si="11"/>
        <v>45869</v>
      </c>
      <c r="C41" s="469">
        <f t="shared" si="15"/>
        <v>19</v>
      </c>
      <c r="D41" s="494">
        <f t="shared" si="12"/>
        <v>78</v>
      </c>
      <c r="E41" s="490">
        <v>0</v>
      </c>
      <c r="F41" s="491">
        <f t="shared" si="16"/>
        <v>78</v>
      </c>
      <c r="G41" s="490">
        <v>3</v>
      </c>
      <c r="H41" s="491">
        <f t="shared" si="13"/>
        <v>78</v>
      </c>
      <c r="I41" s="495">
        <f t="shared" si="7"/>
        <v>1</v>
      </c>
      <c r="N41" s="474">
        <f t="shared" si="9"/>
        <v>0</v>
      </c>
      <c r="O41" s="474">
        <f t="shared" si="17"/>
        <v>83678.061954939069</v>
      </c>
      <c r="P41" s="474">
        <f t="shared" si="14"/>
        <v>337.6518269230769</v>
      </c>
      <c r="Q41" s="474">
        <f>SUM(O41,P35:P41)</f>
        <v>87392.232051092869</v>
      </c>
    </row>
    <row r="42" spans="2:18" ht="14.1" customHeight="1" x14ac:dyDescent="0.2">
      <c r="B42" s="493">
        <f t="shared" si="11"/>
        <v>45900</v>
      </c>
      <c r="C42" s="469">
        <f t="shared" si="15"/>
        <v>20</v>
      </c>
      <c r="D42" s="494">
        <f t="shared" si="12"/>
        <v>78</v>
      </c>
      <c r="E42" s="490">
        <v>0</v>
      </c>
      <c r="F42" s="491">
        <f t="shared" si="16"/>
        <v>78</v>
      </c>
      <c r="G42" s="490">
        <v>0</v>
      </c>
      <c r="H42" s="491">
        <f t="shared" si="13"/>
        <v>78</v>
      </c>
      <c r="I42" s="495">
        <f t="shared" si="7"/>
        <v>1</v>
      </c>
      <c r="N42" s="474">
        <f t="shared" si="9"/>
        <v>0</v>
      </c>
      <c r="O42" s="474">
        <f t="shared" si="17"/>
        <v>83884.434629748299</v>
      </c>
      <c r="P42" s="474">
        <f t="shared" si="14"/>
        <v>0</v>
      </c>
      <c r="Q42" s="474">
        <f>SUM(O42,P35:P42)</f>
        <v>87598.6047259021</v>
      </c>
    </row>
    <row r="43" spans="2:18" ht="14.1" customHeight="1" x14ac:dyDescent="0.2">
      <c r="B43" s="493">
        <f t="shared" si="11"/>
        <v>45930</v>
      </c>
      <c r="C43" s="469">
        <f t="shared" si="15"/>
        <v>21</v>
      </c>
      <c r="D43" s="494">
        <f t="shared" si="12"/>
        <v>78</v>
      </c>
      <c r="E43" s="490">
        <v>0</v>
      </c>
      <c r="F43" s="491">
        <f t="shared" si="16"/>
        <v>78</v>
      </c>
      <c r="G43" s="490">
        <v>0</v>
      </c>
      <c r="H43" s="491">
        <f t="shared" si="13"/>
        <v>78</v>
      </c>
      <c r="I43" s="495">
        <f t="shared" si="7"/>
        <v>1</v>
      </c>
      <c r="N43" s="474">
        <f t="shared" si="9"/>
        <v>0</v>
      </c>
      <c r="O43" s="474">
        <f t="shared" si="17"/>
        <v>84091.316275247256</v>
      </c>
      <c r="P43" s="474">
        <f t="shared" si="14"/>
        <v>0</v>
      </c>
      <c r="Q43" s="474">
        <f>SUM(O43,P35:P43)</f>
        <v>87805.486371401057</v>
      </c>
    </row>
    <row r="44" spans="2:18" ht="14.1" customHeight="1" x14ac:dyDescent="0.2">
      <c r="B44" s="493">
        <f t="shared" si="11"/>
        <v>45961</v>
      </c>
      <c r="C44" s="469">
        <f t="shared" si="15"/>
        <v>22</v>
      </c>
      <c r="D44" s="494">
        <f t="shared" si="12"/>
        <v>78</v>
      </c>
      <c r="E44" s="490">
        <v>0</v>
      </c>
      <c r="F44" s="491">
        <f t="shared" si="16"/>
        <v>78</v>
      </c>
      <c r="G44" s="490">
        <v>0</v>
      </c>
      <c r="H44" s="491">
        <f t="shared" si="13"/>
        <v>78</v>
      </c>
      <c r="I44" s="495">
        <f t="shared" si="7"/>
        <v>1</v>
      </c>
      <c r="N44" s="474">
        <f t="shared" si="9"/>
        <v>0</v>
      </c>
      <c r="O44" s="474">
        <f t="shared" si="17"/>
        <v>84298.70814669496</v>
      </c>
      <c r="P44" s="474">
        <f t="shared" si="14"/>
        <v>0</v>
      </c>
      <c r="Q44" s="474">
        <f>SUM(O44,P35:P44)</f>
        <v>88012.878242848761</v>
      </c>
    </row>
    <row r="45" spans="2:18" ht="14.1" customHeight="1" thickBot="1" x14ac:dyDescent="0.25">
      <c r="B45" s="493">
        <f t="shared" si="11"/>
        <v>45991</v>
      </c>
      <c r="C45" s="469">
        <f t="shared" si="15"/>
        <v>23</v>
      </c>
      <c r="D45" s="494">
        <f t="shared" si="12"/>
        <v>78</v>
      </c>
      <c r="E45" s="490">
        <v>0</v>
      </c>
      <c r="F45" s="491">
        <f t="shared" si="16"/>
        <v>78</v>
      </c>
      <c r="G45" s="490">
        <v>0</v>
      </c>
      <c r="H45" s="491">
        <f t="shared" si="13"/>
        <v>78</v>
      </c>
      <c r="I45" s="495">
        <f t="shared" si="7"/>
        <v>1</v>
      </c>
      <c r="N45" s="474">
        <f t="shared" si="9"/>
        <v>0</v>
      </c>
      <c r="O45" s="474">
        <f t="shared" si="17"/>
        <v>84506.611502446249</v>
      </c>
      <c r="P45" s="474">
        <f t="shared" si="14"/>
        <v>0</v>
      </c>
      <c r="Q45" s="474">
        <f>SUM(O45,P35:P45)</f>
        <v>88220.78159860005</v>
      </c>
    </row>
    <row r="46" spans="2:18" ht="14.1" customHeight="1" thickBot="1" x14ac:dyDescent="0.25">
      <c r="B46" s="493">
        <f t="shared" si="11"/>
        <v>46022</v>
      </c>
      <c r="C46" s="469">
        <f t="shared" si="15"/>
        <v>24</v>
      </c>
      <c r="D46" s="494">
        <f t="shared" si="12"/>
        <v>78</v>
      </c>
      <c r="E46" s="490">
        <v>0</v>
      </c>
      <c r="F46" s="491">
        <f t="shared" si="16"/>
        <v>78</v>
      </c>
      <c r="G46" s="490">
        <v>0</v>
      </c>
      <c r="H46" s="491">
        <f t="shared" si="13"/>
        <v>78</v>
      </c>
      <c r="I46" s="495">
        <f t="shared" si="7"/>
        <v>1</v>
      </c>
      <c r="J46" s="498">
        <f>IF($F$1="No",1,AVERAGE(I35:I46))</f>
        <v>0.97008547008547019</v>
      </c>
      <c r="K46" s="499" t="s">
        <v>328</v>
      </c>
      <c r="L46" s="500"/>
      <c r="N46" s="474">
        <f t="shared" si="9"/>
        <v>0</v>
      </c>
      <c r="O46" s="474">
        <f t="shared" si="17"/>
        <v>84715.027603959403</v>
      </c>
      <c r="P46" s="474">
        <f t="shared" si="14"/>
        <v>0</v>
      </c>
      <c r="Q46" s="474">
        <f>SUM(O46,P35:P46)</f>
        <v>88429.197700113204</v>
      </c>
      <c r="R46" s="503">
        <f>Q46/Q34-1</f>
        <v>7.5158401139710174E-2</v>
      </c>
    </row>
    <row r="47" spans="2:18" ht="14.1" customHeight="1" x14ac:dyDescent="0.2">
      <c r="B47" s="493">
        <f t="shared" si="11"/>
        <v>46053</v>
      </c>
      <c r="C47" s="469">
        <f t="shared" si="15"/>
        <v>25</v>
      </c>
      <c r="D47" s="494">
        <f t="shared" si="12"/>
        <v>78</v>
      </c>
      <c r="E47" s="490">
        <v>0</v>
      </c>
      <c r="F47" s="491">
        <f t="shared" si="16"/>
        <v>78</v>
      </c>
      <c r="G47" s="490">
        <v>0</v>
      </c>
      <c r="H47" s="491">
        <f t="shared" si="13"/>
        <v>78</v>
      </c>
      <c r="I47" s="495">
        <f t="shared" si="7"/>
        <v>1</v>
      </c>
      <c r="N47" s="474">
        <f t="shared" si="9"/>
        <v>0</v>
      </c>
      <c r="O47" s="502">
        <f>IF($C47=1,$I$18,Q46)*(1+(RATE(12,,-1,1+SUMIF($K$21:$K$31,ROUNDUP($C47/12,0),$L$21:$L$31))))</f>
        <v>88647.28795739515</v>
      </c>
      <c r="P47" s="474">
        <f t="shared" si="14"/>
        <v>0</v>
      </c>
      <c r="Q47" s="474">
        <f>SUM(O47,P47:P47)</f>
        <v>88647.28795739515</v>
      </c>
    </row>
    <row r="48" spans="2:18" ht="14.1" customHeight="1" x14ac:dyDescent="0.2">
      <c r="B48" s="493">
        <f t="shared" si="11"/>
        <v>46081</v>
      </c>
      <c r="C48" s="469">
        <f t="shared" si="15"/>
        <v>26</v>
      </c>
      <c r="D48" s="494">
        <f t="shared" si="12"/>
        <v>78</v>
      </c>
      <c r="E48" s="490">
        <v>0</v>
      </c>
      <c r="F48" s="491">
        <f t="shared" si="16"/>
        <v>78</v>
      </c>
      <c r="G48" s="490">
        <v>0</v>
      </c>
      <c r="H48" s="491">
        <f t="shared" si="13"/>
        <v>78</v>
      </c>
      <c r="I48" s="495">
        <f t="shared" si="7"/>
        <v>1</v>
      </c>
      <c r="N48" s="474">
        <f t="shared" si="9"/>
        <v>0</v>
      </c>
      <c r="O48" s="474">
        <f t="shared" si="17"/>
        <v>88865.916084086275</v>
      </c>
      <c r="P48" s="474">
        <f t="shared" si="14"/>
        <v>0</v>
      </c>
      <c r="Q48" s="474">
        <f>SUM(O48,P47:P48)</f>
        <v>88865.916084086275</v>
      </c>
    </row>
    <row r="49" spans="2:20" ht="14.1" customHeight="1" x14ac:dyDescent="0.2">
      <c r="B49" s="493">
        <f t="shared" si="11"/>
        <v>46112</v>
      </c>
      <c r="C49" s="469">
        <f t="shared" si="15"/>
        <v>27</v>
      </c>
      <c r="D49" s="494">
        <f t="shared" si="12"/>
        <v>78</v>
      </c>
      <c r="E49" s="490">
        <v>0</v>
      </c>
      <c r="F49" s="491">
        <f t="shared" si="16"/>
        <v>78</v>
      </c>
      <c r="G49" s="490">
        <v>0</v>
      </c>
      <c r="H49" s="491">
        <f t="shared" si="13"/>
        <v>78</v>
      </c>
      <c r="I49" s="495">
        <f t="shared" si="7"/>
        <v>1</v>
      </c>
      <c r="N49" s="474">
        <f t="shared" si="9"/>
        <v>0</v>
      </c>
      <c r="O49" s="474">
        <f t="shared" si="17"/>
        <v>89085.083406717647</v>
      </c>
      <c r="P49" s="474">
        <f t="shared" si="14"/>
        <v>0</v>
      </c>
      <c r="Q49" s="474">
        <f>SUM(O49,P47:P49)</f>
        <v>89085.083406717647</v>
      </c>
    </row>
    <row r="50" spans="2:20" ht="14.1" customHeight="1" x14ac:dyDescent="0.2">
      <c r="B50" s="493">
        <f t="shared" si="11"/>
        <v>46142</v>
      </c>
      <c r="C50" s="469">
        <f t="shared" si="15"/>
        <v>28</v>
      </c>
      <c r="D50" s="494">
        <f t="shared" si="12"/>
        <v>78</v>
      </c>
      <c r="E50" s="490">
        <v>0</v>
      </c>
      <c r="F50" s="491">
        <f t="shared" si="16"/>
        <v>78</v>
      </c>
      <c r="G50" s="490">
        <v>0</v>
      </c>
      <c r="H50" s="491">
        <f t="shared" si="13"/>
        <v>78</v>
      </c>
      <c r="I50" s="495">
        <f t="shared" si="7"/>
        <v>1</v>
      </c>
      <c r="N50" s="474">
        <f t="shared" si="9"/>
        <v>0</v>
      </c>
      <c r="O50" s="474">
        <f t="shared" si="17"/>
        <v>89304.791255091914</v>
      </c>
      <c r="P50" s="474">
        <f t="shared" si="14"/>
        <v>0</v>
      </c>
      <c r="Q50" s="474">
        <f>SUM(O50,P47:P50)</f>
        <v>89304.791255091914</v>
      </c>
    </row>
    <row r="51" spans="2:20" ht="14.1" customHeight="1" x14ac:dyDescent="0.2">
      <c r="B51" s="493">
        <f t="shared" si="11"/>
        <v>46173</v>
      </c>
      <c r="C51" s="469">
        <f t="shared" si="15"/>
        <v>29</v>
      </c>
      <c r="D51" s="494">
        <f t="shared" si="12"/>
        <v>78</v>
      </c>
      <c r="E51" s="490">
        <v>0</v>
      </c>
      <c r="F51" s="491">
        <f t="shared" si="16"/>
        <v>78</v>
      </c>
      <c r="G51" s="490">
        <v>0</v>
      </c>
      <c r="H51" s="491">
        <f t="shared" si="13"/>
        <v>78</v>
      </c>
      <c r="I51" s="495">
        <f t="shared" si="7"/>
        <v>1</v>
      </c>
      <c r="N51" s="474">
        <f t="shared" si="9"/>
        <v>0</v>
      </c>
      <c r="O51" s="474">
        <f t="shared" si="17"/>
        <v>89525.040962291372</v>
      </c>
      <c r="P51" s="474">
        <f t="shared" si="14"/>
        <v>0</v>
      </c>
      <c r="Q51" s="474">
        <f>SUM(O51,P47:P51)</f>
        <v>89525.040962291372</v>
      </c>
    </row>
    <row r="52" spans="2:20" ht="14.1" customHeight="1" x14ac:dyDescent="0.2">
      <c r="B52" s="493">
        <f t="shared" si="11"/>
        <v>46203</v>
      </c>
      <c r="C52" s="469">
        <f t="shared" si="15"/>
        <v>30</v>
      </c>
      <c r="D52" s="494">
        <f t="shared" si="12"/>
        <v>78</v>
      </c>
      <c r="E52" s="490">
        <v>0</v>
      </c>
      <c r="F52" s="491">
        <f t="shared" si="16"/>
        <v>78</v>
      </c>
      <c r="G52" s="490">
        <v>0</v>
      </c>
      <c r="H52" s="491">
        <f t="shared" si="13"/>
        <v>78</v>
      </c>
      <c r="I52" s="495">
        <f t="shared" si="7"/>
        <v>1</v>
      </c>
      <c r="N52" s="474">
        <f t="shared" si="9"/>
        <v>0</v>
      </c>
      <c r="O52" s="474">
        <f t="shared" si="17"/>
        <v>89745.833864686065</v>
      </c>
      <c r="P52" s="474">
        <f t="shared" si="14"/>
        <v>0</v>
      </c>
      <c r="Q52" s="474">
        <f>SUM(O52,P47:P52)</f>
        <v>89745.833864686065</v>
      </c>
    </row>
    <row r="53" spans="2:20" ht="14.1" customHeight="1" x14ac:dyDescent="0.2">
      <c r="B53" s="493">
        <f t="shared" si="11"/>
        <v>46234</v>
      </c>
      <c r="C53" s="469">
        <f t="shared" si="15"/>
        <v>31</v>
      </c>
      <c r="D53" s="494">
        <f t="shared" si="12"/>
        <v>78</v>
      </c>
      <c r="E53" s="490">
        <v>0</v>
      </c>
      <c r="F53" s="491">
        <f t="shared" si="16"/>
        <v>78</v>
      </c>
      <c r="G53" s="490">
        <v>0</v>
      </c>
      <c r="H53" s="491">
        <f t="shared" si="13"/>
        <v>78</v>
      </c>
      <c r="I53" s="495">
        <f t="shared" si="7"/>
        <v>1</v>
      </c>
      <c r="N53" s="474">
        <f t="shared" si="9"/>
        <v>0</v>
      </c>
      <c r="O53" s="474">
        <f t="shared" si="17"/>
        <v>89967.171301941897</v>
      </c>
      <c r="P53" s="474">
        <f t="shared" si="14"/>
        <v>0</v>
      </c>
      <c r="Q53" s="474">
        <f>SUM(O53,P47:P53)</f>
        <v>89967.171301941897</v>
      </c>
    </row>
    <row r="54" spans="2:20" ht="14.1" customHeight="1" x14ac:dyDescent="0.2">
      <c r="B54" s="493">
        <f t="shared" si="11"/>
        <v>46265</v>
      </c>
      <c r="C54" s="469">
        <f t="shared" si="15"/>
        <v>32</v>
      </c>
      <c r="D54" s="494">
        <f t="shared" si="12"/>
        <v>78</v>
      </c>
      <c r="E54" s="490">
        <v>0</v>
      </c>
      <c r="F54" s="491">
        <f t="shared" si="16"/>
        <v>78</v>
      </c>
      <c r="G54" s="490">
        <v>0</v>
      </c>
      <c r="H54" s="491">
        <f t="shared" si="13"/>
        <v>78</v>
      </c>
      <c r="I54" s="495">
        <f t="shared" si="7"/>
        <v>1</v>
      </c>
      <c r="N54" s="474">
        <f t="shared" si="9"/>
        <v>0</v>
      </c>
      <c r="O54" s="474">
        <f t="shared" si="17"/>
        <v>90189.054617028713</v>
      </c>
      <c r="P54" s="474">
        <f t="shared" si="14"/>
        <v>0</v>
      </c>
      <c r="Q54" s="474">
        <f>SUM(O54,P47:P54)</f>
        <v>90189.054617028713</v>
      </c>
    </row>
    <row r="55" spans="2:20" ht="14.1" customHeight="1" x14ac:dyDescent="0.2">
      <c r="B55" s="493">
        <f t="shared" si="11"/>
        <v>46295</v>
      </c>
      <c r="C55" s="469">
        <f t="shared" si="15"/>
        <v>33</v>
      </c>
      <c r="D55" s="494">
        <f t="shared" si="12"/>
        <v>78</v>
      </c>
      <c r="E55" s="490">
        <v>0</v>
      </c>
      <c r="F55" s="491">
        <f t="shared" si="16"/>
        <v>78</v>
      </c>
      <c r="G55" s="490">
        <v>0</v>
      </c>
      <c r="H55" s="491">
        <f t="shared" si="13"/>
        <v>78</v>
      </c>
      <c r="I55" s="492">
        <f t="shared" si="7"/>
        <v>1</v>
      </c>
      <c r="N55" s="474">
        <f t="shared" si="9"/>
        <v>0</v>
      </c>
      <c r="O55" s="474">
        <f t="shared" si="17"/>
        <v>90411.485156228518</v>
      </c>
      <c r="P55" s="474">
        <f t="shared" si="14"/>
        <v>0</v>
      </c>
      <c r="Q55" s="474">
        <f>SUM(O55,P47:P55)</f>
        <v>90411.485156228518</v>
      </c>
    </row>
    <row r="56" spans="2:20" ht="14.1" customHeight="1" x14ac:dyDescent="0.2">
      <c r="B56" s="493">
        <f t="shared" si="11"/>
        <v>46326</v>
      </c>
      <c r="C56" s="469">
        <f t="shared" si="15"/>
        <v>34</v>
      </c>
      <c r="D56" s="494">
        <f t="shared" si="12"/>
        <v>78</v>
      </c>
      <c r="E56" s="490">
        <v>0</v>
      </c>
      <c r="F56" s="491">
        <f t="shared" si="16"/>
        <v>78</v>
      </c>
      <c r="G56" s="490">
        <v>0</v>
      </c>
      <c r="H56" s="491">
        <f t="shared" si="13"/>
        <v>78</v>
      </c>
      <c r="I56" s="492">
        <f t="shared" si="7"/>
        <v>1</v>
      </c>
      <c r="L56" s="504"/>
      <c r="M56" s="504"/>
      <c r="N56" s="474">
        <f t="shared" si="9"/>
        <v>0</v>
      </c>
      <c r="O56" s="474">
        <f t="shared" si="17"/>
        <v>90634.464269143602</v>
      </c>
      <c r="P56" s="474">
        <f t="shared" si="14"/>
        <v>0</v>
      </c>
      <c r="Q56" s="474">
        <f>SUM(O56,P47:P56)</f>
        <v>90634.464269143602</v>
      </c>
      <c r="R56" s="504"/>
    </row>
    <row r="57" spans="2:20" ht="14.1" customHeight="1" thickBot="1" x14ac:dyDescent="0.25">
      <c r="B57" s="493">
        <f t="shared" si="11"/>
        <v>46356</v>
      </c>
      <c r="C57" s="469">
        <f t="shared" si="15"/>
        <v>35</v>
      </c>
      <c r="D57" s="494">
        <f t="shared" si="12"/>
        <v>78</v>
      </c>
      <c r="E57" s="490">
        <v>0</v>
      </c>
      <c r="F57" s="491">
        <f t="shared" si="16"/>
        <v>78</v>
      </c>
      <c r="G57" s="490">
        <v>0</v>
      </c>
      <c r="H57" s="491">
        <f t="shared" si="13"/>
        <v>78</v>
      </c>
      <c r="I57" s="492">
        <f t="shared" si="7"/>
        <v>1</v>
      </c>
      <c r="J57" s="504"/>
      <c r="K57" s="504"/>
      <c r="L57" s="469"/>
      <c r="M57" s="469"/>
      <c r="N57" s="474">
        <f t="shared" si="9"/>
        <v>0</v>
      </c>
      <c r="O57" s="474">
        <f t="shared" si="17"/>
        <v>90857.993308704739</v>
      </c>
      <c r="P57" s="474">
        <f t="shared" si="14"/>
        <v>0</v>
      </c>
      <c r="Q57" s="474">
        <f>SUM(O57,P47:P57)</f>
        <v>90857.993308704739</v>
      </c>
      <c r="S57" s="469"/>
      <c r="T57" s="469"/>
    </row>
    <row r="58" spans="2:20" ht="14.1" customHeight="1" thickBot="1" x14ac:dyDescent="0.25">
      <c r="B58" s="493">
        <f t="shared" si="11"/>
        <v>46387</v>
      </c>
      <c r="C58" s="469">
        <f t="shared" si="15"/>
        <v>36</v>
      </c>
      <c r="D58" s="494">
        <f t="shared" si="12"/>
        <v>78</v>
      </c>
      <c r="E58" s="490">
        <v>0</v>
      </c>
      <c r="F58" s="491">
        <f t="shared" si="16"/>
        <v>78</v>
      </c>
      <c r="G58" s="490">
        <v>0</v>
      </c>
      <c r="H58" s="491">
        <f t="shared" si="13"/>
        <v>78</v>
      </c>
      <c r="I58" s="492">
        <f t="shared" si="7"/>
        <v>1</v>
      </c>
      <c r="J58" s="498">
        <f>IF($F$1="No",1,AVERAGE(I47:I58))</f>
        <v>1</v>
      </c>
      <c r="K58" s="499" t="s">
        <v>329</v>
      </c>
      <c r="L58" s="500"/>
      <c r="N58" s="474">
        <f t="shared" si="9"/>
        <v>0</v>
      </c>
      <c r="O58" s="474">
        <f t="shared" si="17"/>
        <v>91082.073631179388</v>
      </c>
      <c r="P58" s="474">
        <f t="shared" si="14"/>
        <v>0</v>
      </c>
      <c r="Q58" s="474">
        <f>SUM(O58,P47:P58)</f>
        <v>91082.073631179388</v>
      </c>
      <c r="R58" s="503">
        <f>Q58/Q46-1</f>
        <v>3.0000000000710125E-2</v>
      </c>
    </row>
    <row r="59" spans="2:20" ht="14.1" customHeight="1" x14ac:dyDescent="0.2">
      <c r="B59" s="493">
        <f t="shared" si="11"/>
        <v>46418</v>
      </c>
      <c r="C59" s="469">
        <f t="shared" si="15"/>
        <v>37</v>
      </c>
      <c r="D59" s="494">
        <f t="shared" si="12"/>
        <v>78</v>
      </c>
      <c r="E59" s="490">
        <v>0</v>
      </c>
      <c r="F59" s="491">
        <f t="shared" si="16"/>
        <v>78</v>
      </c>
      <c r="G59" s="490">
        <v>0</v>
      </c>
      <c r="H59" s="491">
        <f t="shared" si="13"/>
        <v>78</v>
      </c>
      <c r="I59" s="492">
        <f t="shared" si="7"/>
        <v>1</v>
      </c>
      <c r="N59" s="474">
        <f t="shared" si="9"/>
        <v>0</v>
      </c>
      <c r="O59" s="502">
        <f>IF($C59=1,$I$18,Q58)*(1+(RATE(12,,-1,1+SUMIF($K$21:$K$31,ROUNDUP($C59/12,0),$L$21:$L$31))))</f>
        <v>91306.706596179938</v>
      </c>
      <c r="P59" s="474">
        <f t="shared" si="14"/>
        <v>0</v>
      </c>
      <c r="Q59" s="474">
        <f>SUM(O59,P59:P59)</f>
        <v>91306.706596179938</v>
      </c>
    </row>
    <row r="60" spans="2:20" ht="14.1" customHeight="1" x14ac:dyDescent="0.2">
      <c r="B60" s="493">
        <f t="shared" si="11"/>
        <v>46446</v>
      </c>
      <c r="C60" s="469">
        <f t="shared" si="15"/>
        <v>38</v>
      </c>
      <c r="D60" s="494">
        <f t="shared" si="12"/>
        <v>78</v>
      </c>
      <c r="E60" s="490">
        <v>0</v>
      </c>
      <c r="F60" s="491">
        <f t="shared" si="16"/>
        <v>78</v>
      </c>
      <c r="G60" s="490">
        <v>0</v>
      </c>
      <c r="H60" s="491">
        <f t="shared" si="13"/>
        <v>78</v>
      </c>
      <c r="I60" s="492">
        <f t="shared" si="7"/>
        <v>1</v>
      </c>
      <c r="N60" s="474">
        <f t="shared" si="9"/>
        <v>0</v>
      </c>
      <c r="O60" s="474">
        <f t="shared" si="17"/>
        <v>91531.893566671948</v>
      </c>
      <c r="P60" s="474">
        <f t="shared" si="14"/>
        <v>0</v>
      </c>
      <c r="Q60" s="474">
        <f>SUM(O60,P59:P60)</f>
        <v>91531.893566671948</v>
      </c>
    </row>
    <row r="61" spans="2:20" ht="14.1" customHeight="1" x14ac:dyDescent="0.2">
      <c r="B61" s="493">
        <f t="shared" si="11"/>
        <v>46477</v>
      </c>
      <c r="C61" s="469">
        <f t="shared" si="15"/>
        <v>39</v>
      </c>
      <c r="D61" s="494">
        <f t="shared" si="12"/>
        <v>78</v>
      </c>
      <c r="E61" s="490">
        <v>0</v>
      </c>
      <c r="F61" s="491">
        <f t="shared" si="16"/>
        <v>78</v>
      </c>
      <c r="G61" s="490">
        <v>0</v>
      </c>
      <c r="H61" s="491">
        <f t="shared" si="13"/>
        <v>78</v>
      </c>
      <c r="I61" s="492">
        <f t="shared" si="7"/>
        <v>1</v>
      </c>
      <c r="N61" s="474">
        <f t="shared" si="9"/>
        <v>0</v>
      </c>
      <c r="O61" s="474">
        <f t="shared" si="17"/>
        <v>91757.635908982411</v>
      </c>
      <c r="P61" s="474">
        <f t="shared" si="14"/>
        <v>0</v>
      </c>
      <c r="Q61" s="474">
        <f>SUM(O61,P59:P61)</f>
        <v>91757.635908982411</v>
      </c>
    </row>
    <row r="62" spans="2:20" ht="14.1" customHeight="1" x14ac:dyDescent="0.2">
      <c r="B62" s="493">
        <f t="shared" si="11"/>
        <v>46507</v>
      </c>
      <c r="C62" s="469">
        <f t="shared" si="15"/>
        <v>40</v>
      </c>
      <c r="D62" s="494">
        <f t="shared" si="12"/>
        <v>78</v>
      </c>
      <c r="E62" s="490">
        <v>0</v>
      </c>
      <c r="F62" s="491">
        <f t="shared" si="16"/>
        <v>78</v>
      </c>
      <c r="G62" s="490">
        <v>0</v>
      </c>
      <c r="H62" s="491">
        <f t="shared" si="13"/>
        <v>78</v>
      </c>
      <c r="I62" s="492">
        <f t="shared" si="7"/>
        <v>1</v>
      </c>
      <c r="N62" s="474">
        <f t="shared" si="9"/>
        <v>0</v>
      </c>
      <c r="O62" s="474">
        <f t="shared" si="17"/>
        <v>91983.934992808063</v>
      </c>
      <c r="P62" s="474">
        <f t="shared" si="14"/>
        <v>0</v>
      </c>
      <c r="Q62" s="474">
        <f>SUM(O62,P59:P62)</f>
        <v>91983.934992808063</v>
      </c>
    </row>
    <row r="63" spans="2:20" ht="14.1" customHeight="1" x14ac:dyDescent="0.2">
      <c r="B63" s="493">
        <f t="shared" si="11"/>
        <v>46538</v>
      </c>
      <c r="C63" s="469">
        <f t="shared" si="15"/>
        <v>41</v>
      </c>
      <c r="D63" s="494">
        <f t="shared" si="12"/>
        <v>78</v>
      </c>
      <c r="E63" s="490">
        <v>0</v>
      </c>
      <c r="F63" s="491">
        <f t="shared" si="16"/>
        <v>78</v>
      </c>
      <c r="G63" s="490">
        <v>0</v>
      </c>
      <c r="H63" s="491">
        <f t="shared" si="13"/>
        <v>78</v>
      </c>
      <c r="I63" s="492">
        <f t="shared" si="7"/>
        <v>1</v>
      </c>
      <c r="N63" s="474">
        <f t="shared" si="9"/>
        <v>0</v>
      </c>
      <c r="O63" s="474">
        <f t="shared" si="17"/>
        <v>92210.792191223663</v>
      </c>
      <c r="P63" s="474">
        <f t="shared" si="14"/>
        <v>0</v>
      </c>
      <c r="Q63" s="474">
        <f>SUM(O63,P59:P63)</f>
        <v>92210.792191223663</v>
      </c>
    </row>
    <row r="64" spans="2:20" ht="14.1" customHeight="1" x14ac:dyDescent="0.2">
      <c r="B64" s="493">
        <f t="shared" si="11"/>
        <v>46568</v>
      </c>
      <c r="C64" s="469">
        <f t="shared" si="15"/>
        <v>42</v>
      </c>
      <c r="D64" s="494">
        <f t="shared" si="12"/>
        <v>78</v>
      </c>
      <c r="E64" s="490">
        <v>0</v>
      </c>
      <c r="F64" s="491">
        <f t="shared" si="16"/>
        <v>78</v>
      </c>
      <c r="G64" s="490">
        <v>0</v>
      </c>
      <c r="H64" s="491">
        <f t="shared" si="13"/>
        <v>78</v>
      </c>
      <c r="I64" s="492">
        <f t="shared" si="7"/>
        <v>1</v>
      </c>
      <c r="N64" s="474">
        <f t="shared" si="9"/>
        <v>0</v>
      </c>
      <c r="O64" s="474">
        <f t="shared" si="17"/>
        <v>92438.208880690363</v>
      </c>
      <c r="P64" s="474">
        <f t="shared" si="14"/>
        <v>0</v>
      </c>
      <c r="Q64" s="474">
        <f>SUM(O64,P59:P64)</f>
        <v>92438.208880690363</v>
      </c>
    </row>
    <row r="65" spans="2:18" ht="14.1" customHeight="1" x14ac:dyDescent="0.2">
      <c r="B65" s="493">
        <f t="shared" si="11"/>
        <v>46599</v>
      </c>
      <c r="C65" s="469">
        <f t="shared" si="15"/>
        <v>43</v>
      </c>
      <c r="D65" s="494">
        <f t="shared" si="12"/>
        <v>78</v>
      </c>
      <c r="E65" s="490">
        <v>0</v>
      </c>
      <c r="F65" s="491">
        <f t="shared" si="16"/>
        <v>78</v>
      </c>
      <c r="G65" s="490">
        <v>0</v>
      </c>
      <c r="H65" s="491">
        <f t="shared" si="13"/>
        <v>78</v>
      </c>
      <c r="I65" s="492">
        <f t="shared" si="7"/>
        <v>1</v>
      </c>
      <c r="N65" s="474">
        <f t="shared" si="9"/>
        <v>0</v>
      </c>
      <c r="O65" s="474">
        <f t="shared" si="17"/>
        <v>92666.186441064026</v>
      </c>
      <c r="P65" s="474">
        <f t="shared" si="14"/>
        <v>0</v>
      </c>
      <c r="Q65" s="474">
        <f>SUM(O65,P59:P65)</f>
        <v>92666.186441064026</v>
      </c>
    </row>
    <row r="66" spans="2:18" ht="14.1" customHeight="1" x14ac:dyDescent="0.2">
      <c r="B66" s="493">
        <f t="shared" si="11"/>
        <v>46630</v>
      </c>
      <c r="C66" s="469">
        <f t="shared" si="15"/>
        <v>44</v>
      </c>
      <c r="D66" s="494">
        <f t="shared" si="12"/>
        <v>78</v>
      </c>
      <c r="E66" s="490">
        <v>0</v>
      </c>
      <c r="F66" s="491">
        <f t="shared" si="16"/>
        <v>78</v>
      </c>
      <c r="G66" s="490">
        <v>0</v>
      </c>
      <c r="H66" s="491">
        <f t="shared" si="13"/>
        <v>78</v>
      </c>
      <c r="I66" s="492">
        <f t="shared" si="7"/>
        <v>1</v>
      </c>
      <c r="N66" s="474">
        <f t="shared" si="9"/>
        <v>0</v>
      </c>
      <c r="O66" s="474">
        <f t="shared" si="17"/>
        <v>92894.726255603615</v>
      </c>
      <c r="P66" s="474">
        <f t="shared" si="14"/>
        <v>0</v>
      </c>
      <c r="Q66" s="474">
        <f>SUM(O66,P59:P66)</f>
        <v>92894.726255603615</v>
      </c>
    </row>
    <row r="67" spans="2:18" ht="14.1" customHeight="1" x14ac:dyDescent="0.2">
      <c r="B67" s="493">
        <f t="shared" si="11"/>
        <v>46660</v>
      </c>
      <c r="C67" s="469">
        <f t="shared" si="15"/>
        <v>45</v>
      </c>
      <c r="D67" s="494">
        <f t="shared" si="12"/>
        <v>78</v>
      </c>
      <c r="E67" s="490">
        <v>0</v>
      </c>
      <c r="F67" s="491">
        <f t="shared" si="16"/>
        <v>78</v>
      </c>
      <c r="G67" s="490">
        <v>0</v>
      </c>
      <c r="H67" s="491">
        <f t="shared" si="13"/>
        <v>78</v>
      </c>
      <c r="I67" s="492">
        <f t="shared" si="7"/>
        <v>1</v>
      </c>
      <c r="N67" s="474">
        <f t="shared" si="9"/>
        <v>0</v>
      </c>
      <c r="O67" s="474">
        <f t="shared" si="17"/>
        <v>93123.829710979582</v>
      </c>
      <c r="P67" s="474">
        <f t="shared" si="14"/>
        <v>0</v>
      </c>
      <c r="Q67" s="474">
        <f>SUM(O67,P59:P67)</f>
        <v>93123.829710979582</v>
      </c>
    </row>
    <row r="68" spans="2:18" ht="14.1" customHeight="1" x14ac:dyDescent="0.2">
      <c r="B68" s="493">
        <f t="shared" si="11"/>
        <v>46691</v>
      </c>
      <c r="C68" s="469">
        <f t="shared" si="15"/>
        <v>46</v>
      </c>
      <c r="D68" s="494">
        <f t="shared" si="12"/>
        <v>78</v>
      </c>
      <c r="E68" s="490">
        <v>0</v>
      </c>
      <c r="F68" s="491">
        <f t="shared" si="16"/>
        <v>78</v>
      </c>
      <c r="G68" s="490">
        <v>0</v>
      </c>
      <c r="H68" s="491">
        <f t="shared" si="13"/>
        <v>78</v>
      </c>
      <c r="I68" s="492">
        <f t="shared" si="7"/>
        <v>1</v>
      </c>
      <c r="N68" s="474">
        <f t="shared" si="9"/>
        <v>0</v>
      </c>
      <c r="O68" s="474">
        <f t="shared" si="17"/>
        <v>93353.498197282286</v>
      </c>
      <c r="P68" s="474">
        <f t="shared" si="14"/>
        <v>0</v>
      </c>
      <c r="Q68" s="474">
        <f>SUM(O68,P59:P68)</f>
        <v>93353.498197282286</v>
      </c>
    </row>
    <row r="69" spans="2:18" ht="14.1" customHeight="1" thickBot="1" x14ac:dyDescent="0.25">
      <c r="B69" s="493">
        <f t="shared" si="11"/>
        <v>46721</v>
      </c>
      <c r="C69" s="469">
        <f t="shared" si="15"/>
        <v>47</v>
      </c>
      <c r="D69" s="494">
        <f t="shared" si="12"/>
        <v>78</v>
      </c>
      <c r="E69" s="490">
        <v>0</v>
      </c>
      <c r="F69" s="491">
        <f t="shared" si="16"/>
        <v>78</v>
      </c>
      <c r="G69" s="490">
        <v>0</v>
      </c>
      <c r="H69" s="491">
        <f t="shared" si="13"/>
        <v>78</v>
      </c>
      <c r="I69" s="492">
        <f t="shared" si="7"/>
        <v>1</v>
      </c>
      <c r="N69" s="474">
        <f t="shared" si="9"/>
        <v>0</v>
      </c>
      <c r="O69" s="474">
        <f t="shared" si="17"/>
        <v>93583.733108030414</v>
      </c>
      <c r="P69" s="474">
        <f t="shared" si="14"/>
        <v>0</v>
      </c>
      <c r="Q69" s="474">
        <f>SUM(O69,P59:P69)</f>
        <v>93583.733108030414</v>
      </c>
    </row>
    <row r="70" spans="2:18" ht="14.1" customHeight="1" thickBot="1" x14ac:dyDescent="0.25">
      <c r="B70" s="493">
        <f t="shared" si="11"/>
        <v>46752</v>
      </c>
      <c r="C70" s="469">
        <f t="shared" si="15"/>
        <v>48</v>
      </c>
      <c r="D70" s="494">
        <f t="shared" si="12"/>
        <v>78</v>
      </c>
      <c r="E70" s="490">
        <v>0</v>
      </c>
      <c r="F70" s="491">
        <f t="shared" si="16"/>
        <v>78</v>
      </c>
      <c r="G70" s="490">
        <v>0</v>
      </c>
      <c r="H70" s="491">
        <f t="shared" si="13"/>
        <v>78</v>
      </c>
      <c r="I70" s="492">
        <f t="shared" si="7"/>
        <v>1</v>
      </c>
      <c r="J70" s="498">
        <f>IF($F$1="No",1,AVERAGE(I59:I70))</f>
        <v>1</v>
      </c>
      <c r="K70" s="499" t="s">
        <v>330</v>
      </c>
      <c r="L70" s="500"/>
      <c r="N70" s="474">
        <f t="shared" si="9"/>
        <v>0</v>
      </c>
      <c r="O70" s="474">
        <f t="shared" si="17"/>
        <v>93814.535840179466</v>
      </c>
      <c r="P70" s="474">
        <f t="shared" si="14"/>
        <v>0</v>
      </c>
      <c r="Q70" s="474">
        <f>SUM(O70,P59:P70)</f>
        <v>93814.535840179466</v>
      </c>
      <c r="R70" s="503">
        <f>Q70/Q58-1</f>
        <v>3.0000000000710347E-2</v>
      </c>
    </row>
    <row r="71" spans="2:18" ht="14.1" customHeight="1" x14ac:dyDescent="0.2">
      <c r="B71" s="493">
        <f t="shared" si="11"/>
        <v>46783</v>
      </c>
      <c r="C71" s="469">
        <f t="shared" si="15"/>
        <v>49</v>
      </c>
      <c r="D71" s="494">
        <f t="shared" si="12"/>
        <v>78</v>
      </c>
      <c r="E71" s="490">
        <v>0</v>
      </c>
      <c r="F71" s="491">
        <f t="shared" si="16"/>
        <v>78</v>
      </c>
      <c r="G71" s="490">
        <v>0</v>
      </c>
      <c r="H71" s="491">
        <f t="shared" si="13"/>
        <v>78</v>
      </c>
      <c r="I71" s="492">
        <f t="shared" si="7"/>
        <v>1</v>
      </c>
      <c r="N71" s="474">
        <f t="shared" si="9"/>
        <v>0</v>
      </c>
      <c r="O71" s="502">
        <f>IF($C71=1,$I$18,Q70)*(1+(RATE(12,,-1,1+SUMIF($K$21:$K$31,ROUNDUP($C71/12,0),$L$21:$L$31))))</f>
        <v>94045.907794130195</v>
      </c>
      <c r="P71" s="474">
        <f t="shared" si="14"/>
        <v>0</v>
      </c>
      <c r="Q71" s="474">
        <f>SUM(O71,P71:P71)</f>
        <v>94045.907794130195</v>
      </c>
    </row>
    <row r="72" spans="2:18" ht="14.1" customHeight="1" x14ac:dyDescent="0.2">
      <c r="B72" s="493">
        <f t="shared" si="11"/>
        <v>46812</v>
      </c>
      <c r="C72" s="469">
        <f t="shared" si="15"/>
        <v>50</v>
      </c>
      <c r="D72" s="494">
        <f t="shared" si="12"/>
        <v>78</v>
      </c>
      <c r="E72" s="490">
        <v>0</v>
      </c>
      <c r="F72" s="491">
        <f t="shared" si="16"/>
        <v>78</v>
      </c>
      <c r="G72" s="490">
        <v>0</v>
      </c>
      <c r="H72" s="491">
        <f t="shared" si="13"/>
        <v>78</v>
      </c>
      <c r="I72" s="492">
        <f t="shared" si="7"/>
        <v>1</v>
      </c>
      <c r="N72" s="474">
        <f t="shared" si="9"/>
        <v>0</v>
      </c>
      <c r="O72" s="474">
        <f t="shared" si="17"/>
        <v>94277.850373737121</v>
      </c>
      <c r="P72" s="474">
        <f t="shared" si="14"/>
        <v>0</v>
      </c>
      <c r="Q72" s="474">
        <f>SUM(O72,P71:P72)</f>
        <v>94277.850373737121</v>
      </c>
    </row>
    <row r="73" spans="2:18" ht="14.1" customHeight="1" x14ac:dyDescent="0.2">
      <c r="B73" s="493">
        <f t="shared" si="11"/>
        <v>46843</v>
      </c>
      <c r="C73" s="469">
        <f t="shared" si="15"/>
        <v>51</v>
      </c>
      <c r="D73" s="494">
        <f t="shared" si="12"/>
        <v>78</v>
      </c>
      <c r="E73" s="490">
        <v>0</v>
      </c>
      <c r="F73" s="491">
        <f t="shared" si="16"/>
        <v>78</v>
      </c>
      <c r="G73" s="490">
        <v>0</v>
      </c>
      <c r="H73" s="491">
        <f t="shared" si="13"/>
        <v>78</v>
      </c>
      <c r="I73" s="492">
        <f t="shared" si="7"/>
        <v>1</v>
      </c>
      <c r="N73" s="474">
        <f t="shared" si="9"/>
        <v>0</v>
      </c>
      <c r="O73" s="474">
        <f t="shared" si="17"/>
        <v>94510.364986317058</v>
      </c>
      <c r="P73" s="474">
        <f t="shared" si="14"/>
        <v>0</v>
      </c>
      <c r="Q73" s="474">
        <f>SUM(O73,P71:P73)</f>
        <v>94510.364986317058</v>
      </c>
    </row>
    <row r="74" spans="2:18" ht="14.1" customHeight="1" x14ac:dyDescent="0.2">
      <c r="B74" s="493">
        <f t="shared" si="11"/>
        <v>46873</v>
      </c>
      <c r="C74" s="469">
        <f t="shared" si="15"/>
        <v>52</v>
      </c>
      <c r="D74" s="494">
        <f t="shared" si="12"/>
        <v>78</v>
      </c>
      <c r="E74" s="490">
        <v>0</v>
      </c>
      <c r="F74" s="491">
        <f t="shared" si="16"/>
        <v>78</v>
      </c>
      <c r="G74" s="490">
        <v>0</v>
      </c>
      <c r="H74" s="491">
        <f t="shared" si="13"/>
        <v>78</v>
      </c>
      <c r="I74" s="492">
        <f t="shared" si="7"/>
        <v>1</v>
      </c>
      <c r="N74" s="474">
        <f t="shared" si="9"/>
        <v>0</v>
      </c>
      <c r="O74" s="474">
        <f t="shared" si="17"/>
        <v>94743.453042657638</v>
      </c>
      <c r="P74" s="474">
        <f t="shared" si="14"/>
        <v>0</v>
      </c>
      <c r="Q74" s="474">
        <f>SUM(O74,P71:P74)</f>
        <v>94743.453042657638</v>
      </c>
    </row>
    <row r="75" spans="2:18" ht="14.1" customHeight="1" x14ac:dyDescent="0.2">
      <c r="B75" s="493">
        <f t="shared" si="11"/>
        <v>46904</v>
      </c>
      <c r="C75" s="469">
        <f t="shared" si="15"/>
        <v>53</v>
      </c>
      <c r="D75" s="494">
        <f t="shared" si="12"/>
        <v>78</v>
      </c>
      <c r="E75" s="490">
        <v>0</v>
      </c>
      <c r="F75" s="491">
        <f t="shared" si="16"/>
        <v>78</v>
      </c>
      <c r="G75" s="490">
        <v>0</v>
      </c>
      <c r="H75" s="491">
        <f t="shared" si="13"/>
        <v>78</v>
      </c>
      <c r="I75" s="492">
        <f t="shared" si="7"/>
        <v>1</v>
      </c>
      <c r="N75" s="474">
        <f t="shared" si="9"/>
        <v>0</v>
      </c>
      <c r="O75" s="474">
        <f t="shared" si="17"/>
        <v>94977.115957025861</v>
      </c>
      <c r="P75" s="474">
        <f t="shared" si="14"/>
        <v>0</v>
      </c>
      <c r="Q75" s="474">
        <f>SUM(O75,P71:P75)</f>
        <v>94977.115957025861</v>
      </c>
    </row>
    <row r="76" spans="2:18" ht="14.1" customHeight="1" x14ac:dyDescent="0.2">
      <c r="B76" s="493">
        <f t="shared" si="11"/>
        <v>46934</v>
      </c>
      <c r="C76" s="469">
        <f t="shared" si="15"/>
        <v>54</v>
      </c>
      <c r="D76" s="494">
        <f t="shared" si="12"/>
        <v>78</v>
      </c>
      <c r="E76" s="490">
        <v>0</v>
      </c>
      <c r="F76" s="491">
        <f t="shared" si="16"/>
        <v>78</v>
      </c>
      <c r="G76" s="490">
        <v>0</v>
      </c>
      <c r="H76" s="491">
        <f t="shared" si="13"/>
        <v>78</v>
      </c>
      <c r="I76" s="492">
        <f t="shared" si="7"/>
        <v>1</v>
      </c>
      <c r="N76" s="474">
        <f t="shared" si="9"/>
        <v>0</v>
      </c>
      <c r="O76" s="474">
        <f t="shared" si="17"/>
        <v>95211.355147176713</v>
      </c>
      <c r="P76" s="474">
        <f t="shared" si="14"/>
        <v>0</v>
      </c>
      <c r="Q76" s="474">
        <f>SUM(O76,P71:P76)</f>
        <v>95211.355147176713</v>
      </c>
    </row>
    <row r="77" spans="2:18" ht="14.1" customHeight="1" x14ac:dyDescent="0.2">
      <c r="B77" s="493">
        <f t="shared" si="11"/>
        <v>46965</v>
      </c>
      <c r="C77" s="469">
        <f t="shared" si="15"/>
        <v>55</v>
      </c>
      <c r="D77" s="494">
        <f t="shared" si="12"/>
        <v>78</v>
      </c>
      <c r="E77" s="490">
        <v>0</v>
      </c>
      <c r="F77" s="491">
        <f t="shared" si="16"/>
        <v>78</v>
      </c>
      <c r="G77" s="490">
        <v>0</v>
      </c>
      <c r="H77" s="491">
        <f t="shared" si="13"/>
        <v>78</v>
      </c>
      <c r="I77" s="492">
        <f t="shared" si="7"/>
        <v>1</v>
      </c>
      <c r="N77" s="474">
        <f t="shared" si="9"/>
        <v>0</v>
      </c>
      <c r="O77" s="474">
        <f t="shared" si="17"/>
        <v>95446.172034361749</v>
      </c>
      <c r="P77" s="474">
        <f t="shared" si="14"/>
        <v>0</v>
      </c>
      <c r="Q77" s="474">
        <f>SUM(O77,P71:P77)</f>
        <v>95446.172034361749</v>
      </c>
    </row>
    <row r="78" spans="2:18" ht="14.1" customHeight="1" x14ac:dyDescent="0.2">
      <c r="B78" s="493">
        <f t="shared" si="11"/>
        <v>46996</v>
      </c>
      <c r="C78" s="469">
        <f t="shared" si="15"/>
        <v>56</v>
      </c>
      <c r="D78" s="494">
        <f t="shared" si="12"/>
        <v>78</v>
      </c>
      <c r="E78" s="490">
        <v>0</v>
      </c>
      <c r="F78" s="491">
        <f t="shared" si="16"/>
        <v>78</v>
      </c>
      <c r="G78" s="490">
        <v>0</v>
      </c>
      <c r="H78" s="491">
        <f t="shared" si="13"/>
        <v>78</v>
      </c>
      <c r="I78" s="492">
        <f t="shared" si="7"/>
        <v>1</v>
      </c>
      <c r="N78" s="474">
        <f t="shared" si="9"/>
        <v>0</v>
      </c>
      <c r="O78" s="474">
        <f t="shared" si="17"/>
        <v>95681.568043337684</v>
      </c>
      <c r="P78" s="474">
        <f t="shared" si="14"/>
        <v>0</v>
      </c>
      <c r="Q78" s="474">
        <f>SUM(O78,P71:P78)</f>
        <v>95681.568043337684</v>
      </c>
    </row>
    <row r="79" spans="2:18" ht="14.1" customHeight="1" x14ac:dyDescent="0.2">
      <c r="B79" s="493">
        <f t="shared" si="11"/>
        <v>47026</v>
      </c>
      <c r="C79" s="469">
        <f t="shared" si="15"/>
        <v>57</v>
      </c>
      <c r="D79" s="494">
        <f t="shared" si="12"/>
        <v>78</v>
      </c>
      <c r="E79" s="490">
        <v>0</v>
      </c>
      <c r="F79" s="491">
        <f t="shared" si="16"/>
        <v>78</v>
      </c>
      <c r="G79" s="490">
        <v>0</v>
      </c>
      <c r="H79" s="491">
        <f t="shared" si="13"/>
        <v>78</v>
      </c>
      <c r="I79" s="492">
        <f t="shared" si="7"/>
        <v>1</v>
      </c>
      <c r="N79" s="474">
        <f t="shared" si="9"/>
        <v>0</v>
      </c>
      <c r="O79" s="474">
        <f t="shared" si="17"/>
        <v>95917.544602375085</v>
      </c>
      <c r="P79" s="474">
        <f t="shared" si="14"/>
        <v>0</v>
      </c>
      <c r="Q79" s="474">
        <f>SUM(O79,P71:P79)</f>
        <v>95917.544602375085</v>
      </c>
    </row>
    <row r="80" spans="2:18" ht="14.1" customHeight="1" x14ac:dyDescent="0.2">
      <c r="B80" s="493">
        <f t="shared" si="11"/>
        <v>47057</v>
      </c>
      <c r="C80" s="469">
        <f t="shared" si="15"/>
        <v>58</v>
      </c>
      <c r="D80" s="494">
        <f t="shared" si="12"/>
        <v>78</v>
      </c>
      <c r="E80" s="490">
        <v>0</v>
      </c>
      <c r="F80" s="491">
        <f t="shared" si="16"/>
        <v>78</v>
      </c>
      <c r="G80" s="490">
        <v>0</v>
      </c>
      <c r="H80" s="491">
        <f t="shared" si="13"/>
        <v>78</v>
      </c>
      <c r="I80" s="492">
        <f t="shared" si="7"/>
        <v>1</v>
      </c>
      <c r="N80" s="474">
        <f t="shared" si="9"/>
        <v>0</v>
      </c>
      <c r="O80" s="474">
        <f t="shared" si="17"/>
        <v>96154.103143267028</v>
      </c>
      <c r="P80" s="474">
        <f t="shared" si="14"/>
        <v>0</v>
      </c>
      <c r="Q80" s="474">
        <f>SUM(O80,P71:P80)</f>
        <v>96154.103143267028</v>
      </c>
    </row>
    <row r="81" spans="2:18" ht="14.1" customHeight="1" thickBot="1" x14ac:dyDescent="0.25">
      <c r="B81" s="493">
        <f t="shared" si="11"/>
        <v>47087</v>
      </c>
      <c r="C81" s="469">
        <f t="shared" si="15"/>
        <v>59</v>
      </c>
      <c r="D81" s="494">
        <f t="shared" si="12"/>
        <v>78</v>
      </c>
      <c r="E81" s="490">
        <v>0</v>
      </c>
      <c r="F81" s="491">
        <f t="shared" si="16"/>
        <v>78</v>
      </c>
      <c r="G81" s="490">
        <v>0</v>
      </c>
      <c r="H81" s="491">
        <f t="shared" si="13"/>
        <v>78</v>
      </c>
      <c r="I81" s="492">
        <f t="shared" si="7"/>
        <v>1</v>
      </c>
      <c r="N81" s="474">
        <f t="shared" si="9"/>
        <v>0</v>
      </c>
      <c r="O81" s="474">
        <f t="shared" si="17"/>
        <v>96391.245101337772</v>
      </c>
      <c r="P81" s="474">
        <f t="shared" si="14"/>
        <v>0</v>
      </c>
      <c r="Q81" s="474">
        <f>SUM(O81,P71:P81)</f>
        <v>96391.245101337772</v>
      </c>
    </row>
    <row r="82" spans="2:18" ht="14.1" customHeight="1" thickBot="1" x14ac:dyDescent="0.25">
      <c r="B82" s="493">
        <f t="shared" si="11"/>
        <v>47118</v>
      </c>
      <c r="C82" s="469">
        <f t="shared" si="15"/>
        <v>60</v>
      </c>
      <c r="D82" s="494">
        <f t="shared" si="12"/>
        <v>78</v>
      </c>
      <c r="E82" s="490">
        <v>0</v>
      </c>
      <c r="F82" s="491">
        <f t="shared" si="16"/>
        <v>78</v>
      </c>
      <c r="G82" s="490">
        <v>0</v>
      </c>
      <c r="H82" s="491">
        <f t="shared" si="13"/>
        <v>78</v>
      </c>
      <c r="I82" s="492">
        <f t="shared" si="7"/>
        <v>1</v>
      </c>
      <c r="J82" s="498">
        <f>IF($F$1="No",1,AVERAGE(I71:I82))</f>
        <v>1</v>
      </c>
      <c r="K82" s="499" t="s">
        <v>331</v>
      </c>
      <c r="L82" s="500"/>
      <c r="N82" s="474">
        <f t="shared" si="9"/>
        <v>0</v>
      </c>
      <c r="O82" s="474">
        <f t="shared" si="17"/>
        <v>96628.971915451461</v>
      </c>
      <c r="P82" s="474">
        <f t="shared" si="14"/>
        <v>0</v>
      </c>
      <c r="Q82" s="474">
        <f>SUM(O82,P71:P82)</f>
        <v>96628.971915451461</v>
      </c>
      <c r="R82" s="503">
        <f>Q82/Q70-1</f>
        <v>3.0000000000710125E-2</v>
      </c>
    </row>
    <row r="83" spans="2:18" ht="14.1" customHeight="1" x14ac:dyDescent="0.2">
      <c r="B83" s="493">
        <f t="shared" si="11"/>
        <v>47149</v>
      </c>
      <c r="C83" s="469">
        <f t="shared" si="15"/>
        <v>61</v>
      </c>
      <c r="D83" s="494">
        <f t="shared" si="12"/>
        <v>78</v>
      </c>
      <c r="E83" s="490">
        <v>0</v>
      </c>
      <c r="F83" s="491">
        <f t="shared" si="16"/>
        <v>78</v>
      </c>
      <c r="G83" s="490">
        <v>0</v>
      </c>
      <c r="H83" s="491">
        <f t="shared" si="13"/>
        <v>78</v>
      </c>
      <c r="I83" s="492">
        <f t="shared" si="7"/>
        <v>1</v>
      </c>
      <c r="N83" s="474">
        <f t="shared" si="9"/>
        <v>0</v>
      </c>
      <c r="O83" s="502">
        <f>IF($C83=1,$I$18,Q82)*(1+(RATE(12,,-1,1+SUMIF($K$21:$K$31,ROUNDUP($C83/12,0),$L$21:$L$31))))</f>
        <v>96867.28502802088</v>
      </c>
      <c r="P83" s="474">
        <f t="shared" si="14"/>
        <v>0</v>
      </c>
      <c r="Q83" s="474">
        <f>SUM(O83,P83:P83)</f>
        <v>96867.28502802088</v>
      </c>
    </row>
    <row r="84" spans="2:18" ht="14.1" customHeight="1" x14ac:dyDescent="0.2">
      <c r="B84" s="493">
        <f t="shared" si="11"/>
        <v>47177</v>
      </c>
      <c r="C84" s="469">
        <f t="shared" si="15"/>
        <v>62</v>
      </c>
      <c r="D84" s="494">
        <f t="shared" si="12"/>
        <v>78</v>
      </c>
      <c r="E84" s="490">
        <v>0</v>
      </c>
      <c r="F84" s="491">
        <f t="shared" si="16"/>
        <v>78</v>
      </c>
      <c r="G84" s="490">
        <v>0</v>
      </c>
      <c r="H84" s="491">
        <f t="shared" si="13"/>
        <v>78</v>
      </c>
      <c r="I84" s="492">
        <f t="shared" si="7"/>
        <v>1</v>
      </c>
      <c r="N84" s="474">
        <f t="shared" si="9"/>
        <v>0</v>
      </c>
      <c r="O84" s="474">
        <f t="shared" si="17"/>
        <v>97106.185885016181</v>
      </c>
      <c r="P84" s="474">
        <f t="shared" si="14"/>
        <v>0</v>
      </c>
      <c r="Q84" s="474">
        <f>SUM(O84,P83:P84)</f>
        <v>97106.185885016181</v>
      </c>
    </row>
    <row r="85" spans="2:18" ht="14.1" customHeight="1" x14ac:dyDescent="0.2">
      <c r="B85" s="493">
        <f t="shared" si="11"/>
        <v>47208</v>
      </c>
      <c r="C85" s="469">
        <f t="shared" si="15"/>
        <v>63</v>
      </c>
      <c r="D85" s="494">
        <f t="shared" si="12"/>
        <v>78</v>
      </c>
      <c r="E85" s="490">
        <v>0</v>
      </c>
      <c r="F85" s="491">
        <f t="shared" si="16"/>
        <v>78</v>
      </c>
      <c r="G85" s="490">
        <v>0</v>
      </c>
      <c r="H85" s="491">
        <f t="shared" si="13"/>
        <v>78</v>
      </c>
      <c r="I85" s="492">
        <f t="shared" si="7"/>
        <v>1</v>
      </c>
      <c r="N85" s="474">
        <f t="shared" si="9"/>
        <v>0</v>
      </c>
      <c r="O85" s="474">
        <f t="shared" si="17"/>
        <v>97345.67593597369</v>
      </c>
      <c r="P85" s="474">
        <f t="shared" si="14"/>
        <v>0</v>
      </c>
      <c r="Q85" s="474">
        <f>SUM(O85,P83:P85)</f>
        <v>97345.67593597369</v>
      </c>
    </row>
    <row r="86" spans="2:18" ht="14.1" customHeight="1" x14ac:dyDescent="0.2">
      <c r="B86" s="493">
        <f t="shared" si="11"/>
        <v>47238</v>
      </c>
      <c r="C86" s="469">
        <f t="shared" si="15"/>
        <v>64</v>
      </c>
      <c r="D86" s="494">
        <f t="shared" si="12"/>
        <v>78</v>
      </c>
      <c r="E86" s="490">
        <v>0</v>
      </c>
      <c r="F86" s="491">
        <f t="shared" si="16"/>
        <v>78</v>
      </c>
      <c r="G86" s="490">
        <v>0</v>
      </c>
      <c r="H86" s="491">
        <f t="shared" si="13"/>
        <v>78</v>
      </c>
      <c r="I86" s="492">
        <f t="shared" si="7"/>
        <v>1</v>
      </c>
      <c r="N86" s="474">
        <f t="shared" si="9"/>
        <v>0</v>
      </c>
      <c r="O86" s="474">
        <f t="shared" si="17"/>
        <v>97585.756634004647</v>
      </c>
      <c r="P86" s="474">
        <f t="shared" si="14"/>
        <v>0</v>
      </c>
      <c r="Q86" s="474">
        <f>SUM(O86,P83:P86)</f>
        <v>97585.756634004647</v>
      </c>
    </row>
    <row r="87" spans="2:18" ht="14.1" customHeight="1" x14ac:dyDescent="0.2">
      <c r="B87" s="493">
        <f t="shared" si="11"/>
        <v>47269</v>
      </c>
      <c r="C87" s="469">
        <f t="shared" si="15"/>
        <v>65</v>
      </c>
      <c r="D87" s="494">
        <f t="shared" si="12"/>
        <v>78</v>
      </c>
      <c r="E87" s="490">
        <v>0</v>
      </c>
      <c r="F87" s="491">
        <f t="shared" si="16"/>
        <v>78</v>
      </c>
      <c r="G87" s="490">
        <v>0</v>
      </c>
      <c r="H87" s="491">
        <f t="shared" si="13"/>
        <v>78</v>
      </c>
      <c r="I87" s="492">
        <f t="shared" ref="I87:I150" si="18">D87/$C$18</f>
        <v>1</v>
      </c>
      <c r="N87" s="474">
        <f t="shared" ref="N87:N150" si="19">IF($F$1="No",0,E87/SUM($E$23:$E$154)*$P$18)</f>
        <v>0</v>
      </c>
      <c r="O87" s="474">
        <f t="shared" si="17"/>
        <v>97826.429435804093</v>
      </c>
      <c r="P87" s="474">
        <f t="shared" si="14"/>
        <v>0</v>
      </c>
      <c r="Q87" s="474">
        <f>SUM(O87,P83:P87)</f>
        <v>97826.429435804093</v>
      </c>
    </row>
    <row r="88" spans="2:18" ht="14.1" customHeight="1" x14ac:dyDescent="0.2">
      <c r="B88" s="493">
        <f t="shared" ref="B88:B151" si="20">EOMONTH(B87,1)</f>
        <v>47299</v>
      </c>
      <c r="C88" s="469">
        <f t="shared" si="15"/>
        <v>66</v>
      </c>
      <c r="D88" s="494">
        <f t="shared" ref="D88:D151" si="21">D87-E88+G88</f>
        <v>78</v>
      </c>
      <c r="E88" s="490">
        <v>0</v>
      </c>
      <c r="F88" s="491">
        <f t="shared" si="16"/>
        <v>78</v>
      </c>
      <c r="G88" s="490">
        <v>0</v>
      </c>
      <c r="H88" s="491">
        <f t="shared" ref="H88:H151" si="22">G88+H87</f>
        <v>78</v>
      </c>
      <c r="I88" s="492">
        <f t="shared" si="18"/>
        <v>1</v>
      </c>
      <c r="N88" s="474">
        <f t="shared" si="19"/>
        <v>0</v>
      </c>
      <c r="O88" s="474">
        <f t="shared" si="17"/>
        <v>98067.695801659647</v>
      </c>
      <c r="P88" s="474">
        <f t="shared" ref="P88:P151" si="23">IF($F$1="No",0,G88/SUM($G$23:$G$154)*($L$18-$I$18)*(SUMIF($K$21:$K$31,ROUNDUP(C88/12,0),$T$21:$T$32)))</f>
        <v>0</v>
      </c>
      <c r="Q88" s="474">
        <f>SUM(O88,P83:P88)</f>
        <v>98067.695801659647</v>
      </c>
    </row>
    <row r="89" spans="2:18" ht="14.1" customHeight="1" x14ac:dyDescent="0.2">
      <c r="B89" s="493">
        <f t="shared" si="20"/>
        <v>47330</v>
      </c>
      <c r="C89" s="469">
        <f t="shared" ref="C89:C152" si="24">C88+1</f>
        <v>67</v>
      </c>
      <c r="D89" s="494">
        <f t="shared" si="21"/>
        <v>78</v>
      </c>
      <c r="E89" s="490">
        <v>0</v>
      </c>
      <c r="F89" s="491">
        <f t="shared" ref="F89:F152" si="25">E88+F88</f>
        <v>78</v>
      </c>
      <c r="G89" s="490">
        <v>0</v>
      </c>
      <c r="H89" s="491">
        <f t="shared" si="22"/>
        <v>78</v>
      </c>
      <c r="I89" s="492">
        <f t="shared" si="18"/>
        <v>1</v>
      </c>
      <c r="N89" s="474">
        <f t="shared" si="19"/>
        <v>0</v>
      </c>
      <c r="O89" s="474">
        <f t="shared" ref="O89:O152" si="26">IF($C89=1,$I$18,O88)*(1+(RATE(12,,-1,1+SUMIF($K$21:$K$31,ROUNDUP($C89/12,0),$L$21:$L$31))))</f>
        <v>98309.557195460395</v>
      </c>
      <c r="P89" s="474">
        <f t="shared" si="23"/>
        <v>0</v>
      </c>
      <c r="Q89" s="474">
        <f>SUM(O89,P83:P89)</f>
        <v>98309.557195460395</v>
      </c>
    </row>
    <row r="90" spans="2:18" ht="14.1" customHeight="1" x14ac:dyDescent="0.2">
      <c r="B90" s="493">
        <f t="shared" si="20"/>
        <v>47361</v>
      </c>
      <c r="C90" s="469">
        <f t="shared" si="24"/>
        <v>68</v>
      </c>
      <c r="D90" s="494">
        <f t="shared" si="21"/>
        <v>78</v>
      </c>
      <c r="E90" s="490">
        <v>0</v>
      </c>
      <c r="F90" s="491">
        <f t="shared" si="25"/>
        <v>78</v>
      </c>
      <c r="G90" s="490">
        <v>0</v>
      </c>
      <c r="H90" s="491">
        <f t="shared" si="22"/>
        <v>78</v>
      </c>
      <c r="I90" s="492">
        <f t="shared" si="18"/>
        <v>1</v>
      </c>
      <c r="N90" s="474">
        <f t="shared" si="19"/>
        <v>0</v>
      </c>
      <c r="O90" s="474">
        <f t="shared" si="26"/>
        <v>98552.015084705767</v>
      </c>
      <c r="P90" s="474">
        <f t="shared" si="23"/>
        <v>0</v>
      </c>
      <c r="Q90" s="474">
        <f>SUM(O90,P83:P90)</f>
        <v>98552.015084705767</v>
      </c>
    </row>
    <row r="91" spans="2:18" ht="14.1" customHeight="1" x14ac:dyDescent="0.2">
      <c r="B91" s="493">
        <f t="shared" si="20"/>
        <v>47391</v>
      </c>
      <c r="C91" s="469">
        <f t="shared" si="24"/>
        <v>69</v>
      </c>
      <c r="D91" s="494">
        <f t="shared" si="21"/>
        <v>78</v>
      </c>
      <c r="E91" s="490">
        <v>0</v>
      </c>
      <c r="F91" s="491">
        <f t="shared" si="25"/>
        <v>78</v>
      </c>
      <c r="G91" s="490">
        <v>0</v>
      </c>
      <c r="H91" s="491">
        <f t="shared" si="22"/>
        <v>78</v>
      </c>
      <c r="I91" s="492">
        <f t="shared" si="18"/>
        <v>1</v>
      </c>
      <c r="N91" s="474">
        <f t="shared" si="19"/>
        <v>0</v>
      </c>
      <c r="O91" s="474">
        <f t="shared" si="26"/>
        <v>98795.070940514459</v>
      </c>
      <c r="P91" s="474">
        <f t="shared" si="23"/>
        <v>0</v>
      </c>
      <c r="Q91" s="474">
        <f>SUM(O91,P83:P91)</f>
        <v>98795.070940514459</v>
      </c>
    </row>
    <row r="92" spans="2:18" ht="14.1" customHeight="1" x14ac:dyDescent="0.2">
      <c r="B92" s="493">
        <f t="shared" si="20"/>
        <v>47422</v>
      </c>
      <c r="C92" s="469">
        <f t="shared" si="24"/>
        <v>70</v>
      </c>
      <c r="D92" s="494">
        <f t="shared" si="21"/>
        <v>78</v>
      </c>
      <c r="E92" s="490">
        <v>0</v>
      </c>
      <c r="F92" s="491">
        <f t="shared" si="25"/>
        <v>78</v>
      </c>
      <c r="G92" s="490">
        <v>0</v>
      </c>
      <c r="H92" s="491">
        <f t="shared" si="22"/>
        <v>78</v>
      </c>
      <c r="I92" s="492">
        <f t="shared" si="18"/>
        <v>1</v>
      </c>
      <c r="N92" s="474">
        <f t="shared" si="19"/>
        <v>0</v>
      </c>
      <c r="O92" s="474">
        <f t="shared" si="26"/>
        <v>99038.726237633324</v>
      </c>
      <c r="P92" s="474">
        <f t="shared" si="23"/>
        <v>0</v>
      </c>
      <c r="Q92" s="474">
        <f>SUM(O92,P83:P92)</f>
        <v>99038.726237633324</v>
      </c>
    </row>
    <row r="93" spans="2:18" ht="14.1" customHeight="1" thickBot="1" x14ac:dyDescent="0.25">
      <c r="B93" s="493">
        <f t="shared" si="20"/>
        <v>47452</v>
      </c>
      <c r="C93" s="469">
        <f t="shared" si="24"/>
        <v>71</v>
      </c>
      <c r="D93" s="494">
        <f t="shared" si="21"/>
        <v>78</v>
      </c>
      <c r="E93" s="490">
        <v>0</v>
      </c>
      <c r="F93" s="491">
        <f t="shared" si="25"/>
        <v>78</v>
      </c>
      <c r="G93" s="490">
        <v>0</v>
      </c>
      <c r="H93" s="491">
        <f t="shared" si="22"/>
        <v>78</v>
      </c>
      <c r="I93" s="492">
        <f t="shared" si="18"/>
        <v>1</v>
      </c>
      <c r="N93" s="474">
        <f t="shared" si="19"/>
        <v>0</v>
      </c>
      <c r="O93" s="474">
        <f t="shared" si="26"/>
        <v>99282.982454446348</v>
      </c>
      <c r="P93" s="474">
        <f t="shared" si="23"/>
        <v>0</v>
      </c>
      <c r="Q93" s="474">
        <f>SUM(O93,P83:P93)</f>
        <v>99282.982454446348</v>
      </c>
    </row>
    <row r="94" spans="2:18" ht="14.1" customHeight="1" thickBot="1" x14ac:dyDescent="0.25">
      <c r="B94" s="493">
        <f t="shared" si="20"/>
        <v>47483</v>
      </c>
      <c r="C94" s="469">
        <f t="shared" si="24"/>
        <v>72</v>
      </c>
      <c r="D94" s="494">
        <f t="shared" si="21"/>
        <v>78</v>
      </c>
      <c r="E94" s="490">
        <v>0</v>
      </c>
      <c r="F94" s="491">
        <f t="shared" si="25"/>
        <v>78</v>
      </c>
      <c r="G94" s="490">
        <v>0</v>
      </c>
      <c r="H94" s="491">
        <f t="shared" si="22"/>
        <v>78</v>
      </c>
      <c r="I94" s="492">
        <f t="shared" si="18"/>
        <v>1</v>
      </c>
      <c r="J94" s="498">
        <f>IF($F$1="No",1,AVERAGE(I83:I94))</f>
        <v>1</v>
      </c>
      <c r="K94" s="499" t="s">
        <v>332</v>
      </c>
      <c r="L94" s="500"/>
      <c r="N94" s="474">
        <f t="shared" si="19"/>
        <v>0</v>
      </c>
      <c r="O94" s="474">
        <f t="shared" si="26"/>
        <v>99527.841072983618</v>
      </c>
      <c r="P94" s="474">
        <f t="shared" si="23"/>
        <v>0</v>
      </c>
      <c r="Q94" s="474">
        <f>SUM(O94,P83:P94)</f>
        <v>99527.841072983618</v>
      </c>
      <c r="R94" s="503">
        <f>Q94/Q82-1</f>
        <v>3.0000000000710125E-2</v>
      </c>
    </row>
    <row r="95" spans="2:18" ht="14.1" customHeight="1" x14ac:dyDescent="0.2">
      <c r="B95" s="493">
        <f t="shared" si="20"/>
        <v>47514</v>
      </c>
      <c r="C95" s="469">
        <f t="shared" si="24"/>
        <v>73</v>
      </c>
      <c r="D95" s="494">
        <f t="shared" si="21"/>
        <v>78</v>
      </c>
      <c r="E95" s="490">
        <v>0</v>
      </c>
      <c r="F95" s="491">
        <f t="shared" si="25"/>
        <v>78</v>
      </c>
      <c r="G95" s="490">
        <v>0</v>
      </c>
      <c r="H95" s="491">
        <f t="shared" si="22"/>
        <v>78</v>
      </c>
      <c r="I95" s="492">
        <f t="shared" si="18"/>
        <v>1</v>
      </c>
      <c r="N95" s="474">
        <f t="shared" si="19"/>
        <v>0</v>
      </c>
      <c r="O95" s="502">
        <f>IF($C95=1,$I$18,Q94)*(1+(RATE(12,,-1,1+SUMIF($K$21:$K$31,ROUNDUP($C95/12,0),$L$21:$L$31))))</f>
        <v>99773.303578930281</v>
      </c>
      <c r="P95" s="474">
        <f t="shared" si="23"/>
        <v>0</v>
      </c>
      <c r="Q95" s="474">
        <f>SUM(O95,P95:P95)</f>
        <v>99773.303578930281</v>
      </c>
    </row>
    <row r="96" spans="2:18" ht="14.1" customHeight="1" x14ac:dyDescent="0.2">
      <c r="B96" s="493">
        <f t="shared" si="20"/>
        <v>47542</v>
      </c>
      <c r="C96" s="469">
        <f t="shared" si="24"/>
        <v>74</v>
      </c>
      <c r="D96" s="494">
        <f t="shared" si="21"/>
        <v>78</v>
      </c>
      <c r="E96" s="490">
        <v>0</v>
      </c>
      <c r="F96" s="491">
        <f t="shared" si="25"/>
        <v>78</v>
      </c>
      <c r="G96" s="490">
        <v>0</v>
      </c>
      <c r="H96" s="491">
        <f t="shared" si="22"/>
        <v>78</v>
      </c>
      <c r="I96" s="492">
        <f t="shared" si="18"/>
        <v>1</v>
      </c>
      <c r="N96" s="474">
        <f t="shared" si="19"/>
        <v>0</v>
      </c>
      <c r="O96" s="474">
        <f t="shared" si="26"/>
        <v>100019.37146163562</v>
      </c>
      <c r="P96" s="474">
        <f t="shared" si="23"/>
        <v>0</v>
      </c>
      <c r="Q96" s="474">
        <f>SUM(O96,P95:P96)</f>
        <v>100019.37146163562</v>
      </c>
    </row>
    <row r="97" spans="2:18" ht="14.1" customHeight="1" x14ac:dyDescent="0.2">
      <c r="B97" s="493">
        <f t="shared" si="20"/>
        <v>47573</v>
      </c>
      <c r="C97" s="469">
        <f t="shared" si="24"/>
        <v>75</v>
      </c>
      <c r="D97" s="494">
        <f t="shared" si="21"/>
        <v>78</v>
      </c>
      <c r="E97" s="490">
        <v>0</v>
      </c>
      <c r="F97" s="491">
        <f t="shared" si="25"/>
        <v>78</v>
      </c>
      <c r="G97" s="490">
        <v>0</v>
      </c>
      <c r="H97" s="491">
        <f t="shared" si="22"/>
        <v>78</v>
      </c>
      <c r="I97" s="492">
        <f t="shared" si="18"/>
        <v>1</v>
      </c>
      <c r="N97" s="474">
        <f t="shared" si="19"/>
        <v>0</v>
      </c>
      <c r="O97" s="474">
        <f t="shared" si="26"/>
        <v>100266.04621412202</v>
      </c>
      <c r="P97" s="474">
        <f t="shared" si="23"/>
        <v>0</v>
      </c>
      <c r="Q97" s="474">
        <f>SUM(O97,P95:P97)</f>
        <v>100266.04621412202</v>
      </c>
    </row>
    <row r="98" spans="2:18" ht="14.1" customHeight="1" x14ac:dyDescent="0.2">
      <c r="B98" s="493">
        <f t="shared" si="20"/>
        <v>47603</v>
      </c>
      <c r="C98" s="469">
        <f t="shared" si="24"/>
        <v>76</v>
      </c>
      <c r="D98" s="494">
        <f t="shared" si="21"/>
        <v>78</v>
      </c>
      <c r="E98" s="490">
        <v>0</v>
      </c>
      <c r="F98" s="491">
        <f t="shared" si="25"/>
        <v>78</v>
      </c>
      <c r="G98" s="490">
        <v>0</v>
      </c>
      <c r="H98" s="491">
        <f t="shared" si="22"/>
        <v>78</v>
      </c>
      <c r="I98" s="492">
        <f t="shared" si="18"/>
        <v>1</v>
      </c>
      <c r="N98" s="474">
        <f t="shared" si="19"/>
        <v>0</v>
      </c>
      <c r="O98" s="474">
        <f t="shared" si="26"/>
        <v>100513.32933309408</v>
      </c>
      <c r="P98" s="474">
        <f t="shared" si="23"/>
        <v>0</v>
      </c>
      <c r="Q98" s="474">
        <f>SUM(O98,P95:P98)</f>
        <v>100513.32933309408</v>
      </c>
    </row>
    <row r="99" spans="2:18" ht="14.1" customHeight="1" x14ac:dyDescent="0.2">
      <c r="B99" s="493">
        <f t="shared" si="20"/>
        <v>47634</v>
      </c>
      <c r="C99" s="469">
        <f t="shared" si="24"/>
        <v>77</v>
      </c>
      <c r="D99" s="494">
        <f t="shared" si="21"/>
        <v>78</v>
      </c>
      <c r="E99" s="490">
        <v>0</v>
      </c>
      <c r="F99" s="491">
        <f t="shared" si="25"/>
        <v>78</v>
      </c>
      <c r="G99" s="490">
        <v>0</v>
      </c>
      <c r="H99" s="491">
        <f t="shared" si="22"/>
        <v>78</v>
      </c>
      <c r="I99" s="492">
        <f t="shared" si="18"/>
        <v>1</v>
      </c>
      <c r="N99" s="474">
        <f t="shared" si="19"/>
        <v>0</v>
      </c>
      <c r="O99" s="474">
        <f t="shared" si="26"/>
        <v>100761.22231894768</v>
      </c>
      <c r="P99" s="474">
        <f t="shared" si="23"/>
        <v>0</v>
      </c>
      <c r="Q99" s="474">
        <f>SUM(O99,P95:P99)</f>
        <v>100761.22231894768</v>
      </c>
    </row>
    <row r="100" spans="2:18" ht="14.1" customHeight="1" x14ac:dyDescent="0.2">
      <c r="B100" s="493">
        <f t="shared" si="20"/>
        <v>47664</v>
      </c>
      <c r="C100" s="469">
        <f t="shared" si="24"/>
        <v>78</v>
      </c>
      <c r="D100" s="494">
        <f t="shared" si="21"/>
        <v>78</v>
      </c>
      <c r="E100" s="490">
        <v>0</v>
      </c>
      <c r="F100" s="491">
        <f t="shared" si="25"/>
        <v>78</v>
      </c>
      <c r="G100" s="490">
        <v>0</v>
      </c>
      <c r="H100" s="491">
        <f t="shared" si="22"/>
        <v>78</v>
      </c>
      <c r="I100" s="492">
        <f t="shared" si="18"/>
        <v>1</v>
      </c>
      <c r="N100" s="474">
        <f t="shared" si="19"/>
        <v>0</v>
      </c>
      <c r="O100" s="474">
        <f t="shared" si="26"/>
        <v>101009.72667577906</v>
      </c>
      <c r="P100" s="474">
        <f t="shared" si="23"/>
        <v>0</v>
      </c>
      <c r="Q100" s="474">
        <f>SUM(O100,P95:P100)</f>
        <v>101009.72667577906</v>
      </c>
    </row>
    <row r="101" spans="2:18" ht="14.1" customHeight="1" x14ac:dyDescent="0.2">
      <c r="B101" s="493">
        <f t="shared" si="20"/>
        <v>47695</v>
      </c>
      <c r="C101" s="469">
        <f t="shared" si="24"/>
        <v>79</v>
      </c>
      <c r="D101" s="494">
        <f t="shared" si="21"/>
        <v>78</v>
      </c>
      <c r="E101" s="490">
        <v>0</v>
      </c>
      <c r="F101" s="491">
        <f t="shared" si="25"/>
        <v>78</v>
      </c>
      <c r="G101" s="490">
        <v>0</v>
      </c>
      <c r="H101" s="491">
        <f t="shared" si="22"/>
        <v>78</v>
      </c>
      <c r="I101" s="492">
        <f t="shared" si="18"/>
        <v>1</v>
      </c>
      <c r="N101" s="474">
        <f t="shared" si="19"/>
        <v>0</v>
      </c>
      <c r="O101" s="474">
        <f t="shared" si="26"/>
        <v>101258.84391139401</v>
      </c>
      <c r="P101" s="474">
        <f t="shared" si="23"/>
        <v>0</v>
      </c>
      <c r="Q101" s="474">
        <f>SUM(O101,P95:P101)</f>
        <v>101258.84391139401</v>
      </c>
    </row>
    <row r="102" spans="2:18" ht="14.1" customHeight="1" x14ac:dyDescent="0.2">
      <c r="B102" s="493">
        <f t="shared" si="20"/>
        <v>47726</v>
      </c>
      <c r="C102" s="469">
        <f t="shared" si="24"/>
        <v>80</v>
      </c>
      <c r="D102" s="494">
        <f t="shared" si="21"/>
        <v>78</v>
      </c>
      <c r="E102" s="490">
        <v>0</v>
      </c>
      <c r="F102" s="491">
        <f t="shared" si="25"/>
        <v>78</v>
      </c>
      <c r="G102" s="490">
        <v>0</v>
      </c>
      <c r="H102" s="491">
        <f t="shared" si="22"/>
        <v>78</v>
      </c>
      <c r="I102" s="492">
        <f t="shared" si="18"/>
        <v>1</v>
      </c>
      <c r="N102" s="474">
        <f t="shared" si="19"/>
        <v>0</v>
      </c>
      <c r="O102" s="474">
        <f t="shared" si="26"/>
        <v>101508.57553731692</v>
      </c>
      <c r="P102" s="474">
        <f t="shared" si="23"/>
        <v>0</v>
      </c>
      <c r="Q102" s="474">
        <f>SUM(O102,P95:P102)</f>
        <v>101508.57553731692</v>
      </c>
    </row>
    <row r="103" spans="2:18" ht="14.1" customHeight="1" x14ac:dyDescent="0.2">
      <c r="B103" s="493">
        <f t="shared" si="20"/>
        <v>47756</v>
      </c>
      <c r="C103" s="469">
        <f t="shared" si="24"/>
        <v>81</v>
      </c>
      <c r="D103" s="494">
        <f t="shared" si="21"/>
        <v>78</v>
      </c>
      <c r="E103" s="490">
        <v>0</v>
      </c>
      <c r="F103" s="491">
        <f t="shared" si="25"/>
        <v>78</v>
      </c>
      <c r="G103" s="490">
        <v>0</v>
      </c>
      <c r="H103" s="491">
        <f t="shared" si="22"/>
        <v>78</v>
      </c>
      <c r="I103" s="492">
        <f t="shared" si="18"/>
        <v>1</v>
      </c>
      <c r="N103" s="474">
        <f t="shared" si="19"/>
        <v>0</v>
      </c>
      <c r="O103" s="474">
        <f t="shared" si="26"/>
        <v>101758.92306880005</v>
      </c>
      <c r="P103" s="474">
        <f t="shared" si="23"/>
        <v>0</v>
      </c>
      <c r="Q103" s="474">
        <f>SUM(O103,P95:P103)</f>
        <v>101758.92306880005</v>
      </c>
    </row>
    <row r="104" spans="2:18" ht="14.1" customHeight="1" x14ac:dyDescent="0.2">
      <c r="B104" s="493">
        <f t="shared" si="20"/>
        <v>47787</v>
      </c>
      <c r="C104" s="469">
        <f t="shared" si="24"/>
        <v>82</v>
      </c>
      <c r="D104" s="494">
        <f t="shared" si="21"/>
        <v>78</v>
      </c>
      <c r="E104" s="490">
        <v>0</v>
      </c>
      <c r="F104" s="491">
        <f t="shared" si="25"/>
        <v>78</v>
      </c>
      <c r="G104" s="490">
        <v>0</v>
      </c>
      <c r="H104" s="491">
        <f t="shared" si="22"/>
        <v>78</v>
      </c>
      <c r="I104" s="492">
        <f t="shared" si="18"/>
        <v>1</v>
      </c>
      <c r="N104" s="474">
        <f t="shared" si="19"/>
        <v>0</v>
      </c>
      <c r="O104" s="474">
        <f t="shared" si="26"/>
        <v>102009.88802483266</v>
      </c>
      <c r="P104" s="474">
        <f t="shared" si="23"/>
        <v>0</v>
      </c>
      <c r="Q104" s="474">
        <f>SUM(O104,P95:P104)</f>
        <v>102009.88802483266</v>
      </c>
    </row>
    <row r="105" spans="2:18" ht="14.1" customHeight="1" thickBot="1" x14ac:dyDescent="0.25">
      <c r="B105" s="493">
        <f t="shared" si="20"/>
        <v>47817</v>
      </c>
      <c r="C105" s="469">
        <f t="shared" si="24"/>
        <v>83</v>
      </c>
      <c r="D105" s="494">
        <f t="shared" si="21"/>
        <v>78</v>
      </c>
      <c r="E105" s="490">
        <v>0</v>
      </c>
      <c r="F105" s="491">
        <f t="shared" si="25"/>
        <v>78</v>
      </c>
      <c r="G105" s="490">
        <v>0</v>
      </c>
      <c r="H105" s="491">
        <f t="shared" si="22"/>
        <v>78</v>
      </c>
      <c r="I105" s="492">
        <f t="shared" si="18"/>
        <v>1</v>
      </c>
      <c r="N105" s="474">
        <f t="shared" si="19"/>
        <v>0</v>
      </c>
      <c r="O105" s="474">
        <f t="shared" si="26"/>
        <v>102261.47192815026</v>
      </c>
      <c r="P105" s="474">
        <f t="shared" si="23"/>
        <v>0</v>
      </c>
      <c r="Q105" s="474">
        <f>SUM(O105,P95:P105)</f>
        <v>102261.47192815026</v>
      </c>
    </row>
    <row r="106" spans="2:18" ht="14.1" customHeight="1" thickBot="1" x14ac:dyDescent="0.25">
      <c r="B106" s="493">
        <f t="shared" si="20"/>
        <v>47848</v>
      </c>
      <c r="C106" s="469">
        <f t="shared" si="24"/>
        <v>84</v>
      </c>
      <c r="D106" s="494">
        <f t="shared" si="21"/>
        <v>78</v>
      </c>
      <c r="E106" s="490">
        <v>0</v>
      </c>
      <c r="F106" s="491">
        <f t="shared" si="25"/>
        <v>78</v>
      </c>
      <c r="G106" s="490">
        <v>0</v>
      </c>
      <c r="H106" s="491">
        <f t="shared" si="22"/>
        <v>78</v>
      </c>
      <c r="I106" s="492">
        <f t="shared" si="18"/>
        <v>1</v>
      </c>
      <c r="J106" s="498">
        <f>IF($F$1="No",1,AVERAGE(I95:I106))</f>
        <v>1</v>
      </c>
      <c r="K106" s="499" t="s">
        <v>333</v>
      </c>
      <c r="L106" s="500"/>
      <c r="N106" s="474">
        <f t="shared" si="19"/>
        <v>0</v>
      </c>
      <c r="O106" s="474">
        <f t="shared" si="26"/>
        <v>102513.67630524382</v>
      </c>
      <c r="P106" s="474">
        <f t="shared" si="23"/>
        <v>0</v>
      </c>
      <c r="Q106" s="474">
        <f>SUM(O106,P95:P106)</f>
        <v>102513.67630524382</v>
      </c>
      <c r="R106" s="503">
        <f>Q106/Q94-1</f>
        <v>3.0000000000710347E-2</v>
      </c>
    </row>
    <row r="107" spans="2:18" ht="14.1" customHeight="1" x14ac:dyDescent="0.2">
      <c r="B107" s="493">
        <f t="shared" si="20"/>
        <v>47879</v>
      </c>
      <c r="C107" s="469">
        <f t="shared" si="24"/>
        <v>85</v>
      </c>
      <c r="D107" s="494">
        <f t="shared" si="21"/>
        <v>78</v>
      </c>
      <c r="E107" s="490">
        <v>0</v>
      </c>
      <c r="F107" s="491">
        <f t="shared" si="25"/>
        <v>78</v>
      </c>
      <c r="G107" s="490">
        <v>0</v>
      </c>
      <c r="H107" s="491">
        <f t="shared" si="22"/>
        <v>78</v>
      </c>
      <c r="I107" s="492">
        <f t="shared" si="18"/>
        <v>1</v>
      </c>
      <c r="J107" s="505"/>
      <c r="N107" s="474">
        <f t="shared" si="19"/>
        <v>0</v>
      </c>
      <c r="O107" s="502">
        <f>IF($C107=1,$I$18,Q106)*(1+(RATE(12,,-1,1+SUMIF($K$21:$K$31,ROUNDUP($C107/12,0),$L$21:$L$31))))</f>
        <v>102766.50268636906</v>
      </c>
      <c r="P107" s="474">
        <f t="shared" si="23"/>
        <v>0</v>
      </c>
      <c r="Q107" s="474">
        <f>SUM(O107,P107:P107)</f>
        <v>102766.50268636906</v>
      </c>
      <c r="R107" s="506"/>
    </row>
    <row r="108" spans="2:18" ht="14.1" customHeight="1" x14ac:dyDescent="0.2">
      <c r="B108" s="493">
        <f t="shared" si="20"/>
        <v>47907</v>
      </c>
      <c r="C108" s="469">
        <f t="shared" si="24"/>
        <v>86</v>
      </c>
      <c r="D108" s="494">
        <f t="shared" si="21"/>
        <v>78</v>
      </c>
      <c r="E108" s="490">
        <v>0</v>
      </c>
      <c r="F108" s="491">
        <f t="shared" si="25"/>
        <v>78</v>
      </c>
      <c r="G108" s="490">
        <v>0</v>
      </c>
      <c r="H108" s="491">
        <f t="shared" si="22"/>
        <v>78</v>
      </c>
      <c r="I108" s="492">
        <f t="shared" si="18"/>
        <v>1</v>
      </c>
      <c r="N108" s="474">
        <f t="shared" si="19"/>
        <v>0</v>
      </c>
      <c r="O108" s="474">
        <f t="shared" si="26"/>
        <v>103019.95260555572</v>
      </c>
      <c r="P108" s="474">
        <f t="shared" si="23"/>
        <v>0</v>
      </c>
      <c r="Q108" s="474">
        <f>SUM(O108,P107:P108)</f>
        <v>103019.95260555572</v>
      </c>
    </row>
    <row r="109" spans="2:18" ht="14.1" customHeight="1" x14ac:dyDescent="0.2">
      <c r="B109" s="493">
        <f t="shared" si="20"/>
        <v>47938</v>
      </c>
      <c r="C109" s="469">
        <f t="shared" si="24"/>
        <v>87</v>
      </c>
      <c r="D109" s="494">
        <f t="shared" si="21"/>
        <v>78</v>
      </c>
      <c r="E109" s="490">
        <v>0</v>
      </c>
      <c r="F109" s="491">
        <f t="shared" si="25"/>
        <v>78</v>
      </c>
      <c r="G109" s="490">
        <v>0</v>
      </c>
      <c r="H109" s="491">
        <f t="shared" si="22"/>
        <v>78</v>
      </c>
      <c r="I109" s="492">
        <f t="shared" si="18"/>
        <v>1</v>
      </c>
      <c r="N109" s="474">
        <f t="shared" si="19"/>
        <v>0</v>
      </c>
      <c r="O109" s="474">
        <f t="shared" si="26"/>
        <v>103274.02760061689</v>
      </c>
      <c r="P109" s="474">
        <f t="shared" si="23"/>
        <v>0</v>
      </c>
      <c r="Q109" s="474">
        <f>SUM(O109,P107:P109)</f>
        <v>103274.02760061689</v>
      </c>
    </row>
    <row r="110" spans="2:18" ht="14.1" customHeight="1" x14ac:dyDescent="0.2">
      <c r="B110" s="493">
        <f t="shared" si="20"/>
        <v>47968</v>
      </c>
      <c r="C110" s="469">
        <f t="shared" si="24"/>
        <v>88</v>
      </c>
      <c r="D110" s="494">
        <f t="shared" si="21"/>
        <v>78</v>
      </c>
      <c r="E110" s="490">
        <v>0</v>
      </c>
      <c r="F110" s="491">
        <f t="shared" si="25"/>
        <v>78</v>
      </c>
      <c r="G110" s="490">
        <v>0</v>
      </c>
      <c r="H110" s="491">
        <f t="shared" si="22"/>
        <v>78</v>
      </c>
      <c r="I110" s="492">
        <f t="shared" si="18"/>
        <v>1</v>
      </c>
      <c r="N110" s="474">
        <f t="shared" si="19"/>
        <v>0</v>
      </c>
      <c r="O110" s="474">
        <f t="shared" si="26"/>
        <v>103528.72921315828</v>
      </c>
      <c r="P110" s="474">
        <f t="shared" si="23"/>
        <v>0</v>
      </c>
      <c r="Q110" s="474">
        <f>SUM(O110,P107:P110)</f>
        <v>103528.72921315828</v>
      </c>
    </row>
    <row r="111" spans="2:18" ht="14.1" customHeight="1" x14ac:dyDescent="0.2">
      <c r="B111" s="493">
        <f t="shared" si="20"/>
        <v>47999</v>
      </c>
      <c r="C111" s="469">
        <f t="shared" si="24"/>
        <v>89</v>
      </c>
      <c r="D111" s="494">
        <f t="shared" si="21"/>
        <v>78</v>
      </c>
      <c r="E111" s="490">
        <v>0</v>
      </c>
      <c r="F111" s="491">
        <f t="shared" si="25"/>
        <v>78</v>
      </c>
      <c r="G111" s="490">
        <v>0</v>
      </c>
      <c r="H111" s="491">
        <f t="shared" si="22"/>
        <v>78</v>
      </c>
      <c r="I111" s="492">
        <f t="shared" si="18"/>
        <v>1</v>
      </c>
      <c r="N111" s="474">
        <f t="shared" si="19"/>
        <v>0</v>
      </c>
      <c r="O111" s="474">
        <f t="shared" si="26"/>
        <v>103784.05898858765</v>
      </c>
      <c r="P111" s="474">
        <f t="shared" si="23"/>
        <v>0</v>
      </c>
      <c r="Q111" s="474">
        <f>SUM(O111,P107:P111)</f>
        <v>103784.05898858765</v>
      </c>
    </row>
    <row r="112" spans="2:18" ht="14.1" customHeight="1" x14ac:dyDescent="0.2">
      <c r="B112" s="493">
        <f t="shared" si="20"/>
        <v>48029</v>
      </c>
      <c r="C112" s="469">
        <f t="shared" si="24"/>
        <v>90</v>
      </c>
      <c r="D112" s="494">
        <f t="shared" si="21"/>
        <v>78</v>
      </c>
      <c r="E112" s="490">
        <v>0</v>
      </c>
      <c r="F112" s="491">
        <f t="shared" si="25"/>
        <v>78</v>
      </c>
      <c r="G112" s="490">
        <v>0</v>
      </c>
      <c r="H112" s="491">
        <f t="shared" si="22"/>
        <v>78</v>
      </c>
      <c r="I112" s="492">
        <f t="shared" si="18"/>
        <v>1</v>
      </c>
      <c r="N112" s="474">
        <f t="shared" si="19"/>
        <v>0</v>
      </c>
      <c r="O112" s="474">
        <f t="shared" si="26"/>
        <v>104040.01847612415</v>
      </c>
      <c r="P112" s="474">
        <f t="shared" si="23"/>
        <v>0</v>
      </c>
      <c r="Q112" s="474">
        <f>SUM(O112,P107:P112)</f>
        <v>104040.01847612415</v>
      </c>
    </row>
    <row r="113" spans="2:18" ht="14.1" customHeight="1" x14ac:dyDescent="0.2">
      <c r="B113" s="493">
        <f t="shared" si="20"/>
        <v>48060</v>
      </c>
      <c r="C113" s="469">
        <f t="shared" si="24"/>
        <v>91</v>
      </c>
      <c r="D113" s="494">
        <f t="shared" si="21"/>
        <v>78</v>
      </c>
      <c r="E113" s="490">
        <v>0</v>
      </c>
      <c r="F113" s="491">
        <f t="shared" si="25"/>
        <v>78</v>
      </c>
      <c r="G113" s="490">
        <v>0</v>
      </c>
      <c r="H113" s="491">
        <f t="shared" si="22"/>
        <v>78</v>
      </c>
      <c r="I113" s="492">
        <f t="shared" si="18"/>
        <v>1</v>
      </c>
      <c r="J113" s="505"/>
      <c r="N113" s="474">
        <f t="shared" si="19"/>
        <v>0</v>
      </c>
      <c r="O113" s="474">
        <f t="shared" si="26"/>
        <v>104296.60922880772</v>
      </c>
      <c r="P113" s="474">
        <f t="shared" si="23"/>
        <v>0</v>
      </c>
      <c r="Q113" s="474">
        <f>SUM(O113,P107:P113)</f>
        <v>104296.60922880772</v>
      </c>
      <c r="R113" s="506"/>
    </row>
    <row r="114" spans="2:18" ht="14.1" customHeight="1" x14ac:dyDescent="0.2">
      <c r="B114" s="493">
        <f t="shared" si="20"/>
        <v>48091</v>
      </c>
      <c r="C114" s="469">
        <f t="shared" si="24"/>
        <v>92</v>
      </c>
      <c r="D114" s="494">
        <f t="shared" si="21"/>
        <v>78</v>
      </c>
      <c r="E114" s="490">
        <v>0</v>
      </c>
      <c r="F114" s="491">
        <f t="shared" si="25"/>
        <v>78</v>
      </c>
      <c r="G114" s="490">
        <v>0</v>
      </c>
      <c r="H114" s="491">
        <f t="shared" si="22"/>
        <v>78</v>
      </c>
      <c r="I114" s="492">
        <f t="shared" si="18"/>
        <v>1</v>
      </c>
      <c r="J114" s="505"/>
      <c r="N114" s="474">
        <f t="shared" si="19"/>
        <v>0</v>
      </c>
      <c r="O114" s="474">
        <f t="shared" si="26"/>
        <v>104553.8328035085</v>
      </c>
      <c r="P114" s="474">
        <f t="shared" si="23"/>
        <v>0</v>
      </c>
      <c r="Q114" s="474">
        <f>SUM(O114,P107:P114)</f>
        <v>104553.8328035085</v>
      </c>
      <c r="R114" s="506"/>
    </row>
    <row r="115" spans="2:18" ht="14.1" customHeight="1" x14ac:dyDescent="0.2">
      <c r="B115" s="493">
        <f t="shared" si="20"/>
        <v>48121</v>
      </c>
      <c r="C115" s="469">
        <f t="shared" si="24"/>
        <v>93</v>
      </c>
      <c r="D115" s="494">
        <f t="shared" si="21"/>
        <v>78</v>
      </c>
      <c r="E115" s="490">
        <v>0</v>
      </c>
      <c r="F115" s="491">
        <f t="shared" si="25"/>
        <v>78</v>
      </c>
      <c r="G115" s="490">
        <v>0</v>
      </c>
      <c r="H115" s="491">
        <f t="shared" si="22"/>
        <v>78</v>
      </c>
      <c r="I115" s="492">
        <f t="shared" si="18"/>
        <v>1</v>
      </c>
      <c r="J115" s="505"/>
      <c r="N115" s="474">
        <f t="shared" si="19"/>
        <v>0</v>
      </c>
      <c r="O115" s="474">
        <f t="shared" si="26"/>
        <v>104811.6907609363</v>
      </c>
      <c r="P115" s="474">
        <f t="shared" si="23"/>
        <v>0</v>
      </c>
      <c r="Q115" s="474">
        <f>SUM(O115,P107:P115)</f>
        <v>104811.6907609363</v>
      </c>
      <c r="R115" s="506"/>
    </row>
    <row r="116" spans="2:18" ht="14.1" customHeight="1" x14ac:dyDescent="0.2">
      <c r="B116" s="493">
        <f t="shared" si="20"/>
        <v>48152</v>
      </c>
      <c r="C116" s="469">
        <f t="shared" si="24"/>
        <v>94</v>
      </c>
      <c r="D116" s="494">
        <f t="shared" si="21"/>
        <v>78</v>
      </c>
      <c r="E116" s="490">
        <v>0</v>
      </c>
      <c r="F116" s="491">
        <f t="shared" si="25"/>
        <v>78</v>
      </c>
      <c r="G116" s="490">
        <v>0</v>
      </c>
      <c r="H116" s="491">
        <f t="shared" si="22"/>
        <v>78</v>
      </c>
      <c r="I116" s="492">
        <f t="shared" si="18"/>
        <v>1</v>
      </c>
      <c r="J116" s="505"/>
      <c r="N116" s="474">
        <f t="shared" si="19"/>
        <v>0</v>
      </c>
      <c r="O116" s="474">
        <f t="shared" si="26"/>
        <v>105070.18466565006</v>
      </c>
      <c r="P116" s="474">
        <f t="shared" si="23"/>
        <v>0</v>
      </c>
      <c r="Q116" s="474">
        <f>SUM(O116,P107:P116)</f>
        <v>105070.18466565006</v>
      </c>
      <c r="R116" s="506"/>
    </row>
    <row r="117" spans="2:18" ht="14.1" customHeight="1" thickBot="1" x14ac:dyDescent="0.25">
      <c r="B117" s="493">
        <f t="shared" si="20"/>
        <v>48182</v>
      </c>
      <c r="C117" s="469">
        <f t="shared" si="24"/>
        <v>95</v>
      </c>
      <c r="D117" s="494">
        <f t="shared" si="21"/>
        <v>78</v>
      </c>
      <c r="E117" s="490">
        <v>0</v>
      </c>
      <c r="F117" s="491">
        <f t="shared" si="25"/>
        <v>78</v>
      </c>
      <c r="G117" s="490">
        <v>0</v>
      </c>
      <c r="H117" s="491">
        <f t="shared" si="22"/>
        <v>78</v>
      </c>
      <c r="I117" s="492">
        <f t="shared" si="18"/>
        <v>1</v>
      </c>
      <c r="J117" s="505"/>
      <c r="N117" s="474">
        <f t="shared" si="19"/>
        <v>0</v>
      </c>
      <c r="O117" s="474">
        <f t="shared" si="26"/>
        <v>105329.31608606735</v>
      </c>
      <c r="P117" s="474">
        <f t="shared" si="23"/>
        <v>0</v>
      </c>
      <c r="Q117" s="474">
        <f>SUM(O117,P107:P117)</f>
        <v>105329.31608606735</v>
      </c>
      <c r="R117" s="506"/>
    </row>
    <row r="118" spans="2:18" ht="14.1" customHeight="1" thickBot="1" x14ac:dyDescent="0.25">
      <c r="B118" s="493">
        <f t="shared" si="20"/>
        <v>48213</v>
      </c>
      <c r="C118" s="469">
        <f t="shared" si="24"/>
        <v>96</v>
      </c>
      <c r="D118" s="494">
        <f t="shared" si="21"/>
        <v>78</v>
      </c>
      <c r="E118" s="490">
        <v>0</v>
      </c>
      <c r="F118" s="491">
        <f t="shared" si="25"/>
        <v>78</v>
      </c>
      <c r="G118" s="490">
        <v>0</v>
      </c>
      <c r="H118" s="491">
        <f t="shared" si="22"/>
        <v>78</v>
      </c>
      <c r="I118" s="492">
        <f t="shared" si="18"/>
        <v>1</v>
      </c>
      <c r="J118" s="498">
        <f>IF($F$1="No",1,AVERAGE(I107:I118))</f>
        <v>1</v>
      </c>
      <c r="K118" s="499" t="s">
        <v>334</v>
      </c>
      <c r="L118" s="500"/>
      <c r="N118" s="474">
        <f t="shared" si="19"/>
        <v>0</v>
      </c>
      <c r="O118" s="474">
        <f t="shared" si="26"/>
        <v>105589.08659447391</v>
      </c>
      <c r="P118" s="474">
        <f t="shared" si="23"/>
        <v>0</v>
      </c>
      <c r="Q118" s="474">
        <f>SUM(O118,P107:P118)</f>
        <v>105589.08659447391</v>
      </c>
      <c r="R118" s="503">
        <f>Q118/Q106-1</f>
        <v>3.0000000000709903E-2</v>
      </c>
    </row>
    <row r="119" spans="2:18" ht="14.1" customHeight="1" x14ac:dyDescent="0.2">
      <c r="B119" s="493">
        <f t="shared" si="20"/>
        <v>48244</v>
      </c>
      <c r="C119" s="469">
        <f t="shared" si="24"/>
        <v>97</v>
      </c>
      <c r="D119" s="494">
        <f t="shared" si="21"/>
        <v>78</v>
      </c>
      <c r="E119" s="490">
        <v>0</v>
      </c>
      <c r="F119" s="491">
        <f t="shared" si="25"/>
        <v>78</v>
      </c>
      <c r="G119" s="490">
        <v>0</v>
      </c>
      <c r="H119" s="491">
        <f t="shared" si="22"/>
        <v>78</v>
      </c>
      <c r="I119" s="492">
        <f t="shared" si="18"/>
        <v>1</v>
      </c>
      <c r="J119" s="505"/>
      <c r="N119" s="474">
        <f t="shared" si="19"/>
        <v>0</v>
      </c>
      <c r="O119" s="502">
        <f>IF($C119=1,$I$18,Q118)*(1+(RATE(12,,-1,1+SUMIF($K$21:$K$31,ROUNDUP($C119/12,0),$L$21:$L$31))))</f>
        <v>105849.49776703308</v>
      </c>
      <c r="P119" s="474">
        <f t="shared" si="23"/>
        <v>0</v>
      </c>
      <c r="Q119" s="474">
        <f>SUM(O119,P119:P119)</f>
        <v>105849.49776703308</v>
      </c>
      <c r="R119" s="506"/>
    </row>
    <row r="120" spans="2:18" ht="14.1" customHeight="1" x14ac:dyDescent="0.2">
      <c r="B120" s="493">
        <f t="shared" si="20"/>
        <v>48273</v>
      </c>
      <c r="C120" s="469">
        <f t="shared" si="24"/>
        <v>98</v>
      </c>
      <c r="D120" s="494">
        <f t="shared" si="21"/>
        <v>78</v>
      </c>
      <c r="E120" s="490">
        <v>0</v>
      </c>
      <c r="F120" s="491">
        <f t="shared" si="25"/>
        <v>78</v>
      </c>
      <c r="G120" s="490">
        <v>0</v>
      </c>
      <c r="H120" s="491">
        <f t="shared" si="22"/>
        <v>78</v>
      </c>
      <c r="I120" s="492">
        <f t="shared" si="18"/>
        <v>1</v>
      </c>
      <c r="J120" s="505"/>
      <c r="N120" s="474">
        <f t="shared" si="19"/>
        <v>0</v>
      </c>
      <c r="O120" s="474">
        <f t="shared" si="26"/>
        <v>106110.55118379553</v>
      </c>
      <c r="P120" s="474">
        <f t="shared" si="23"/>
        <v>0</v>
      </c>
      <c r="Q120" s="474">
        <f>SUM(O120,P119:P120)</f>
        <v>106110.55118379553</v>
      </c>
      <c r="R120" s="506"/>
    </row>
    <row r="121" spans="2:18" ht="14.1" customHeight="1" x14ac:dyDescent="0.2">
      <c r="B121" s="493">
        <f t="shared" si="20"/>
        <v>48304</v>
      </c>
      <c r="C121" s="469">
        <f t="shared" si="24"/>
        <v>99</v>
      </c>
      <c r="D121" s="494">
        <f t="shared" si="21"/>
        <v>78</v>
      </c>
      <c r="E121" s="490">
        <v>0</v>
      </c>
      <c r="F121" s="491">
        <f t="shared" si="25"/>
        <v>78</v>
      </c>
      <c r="G121" s="490">
        <v>0</v>
      </c>
      <c r="H121" s="491">
        <f t="shared" si="22"/>
        <v>78</v>
      </c>
      <c r="I121" s="492">
        <f t="shared" si="18"/>
        <v>1</v>
      </c>
      <c r="J121" s="505"/>
      <c r="N121" s="474">
        <f t="shared" si="19"/>
        <v>0</v>
      </c>
      <c r="O121" s="474">
        <f t="shared" si="26"/>
        <v>106372.24842870871</v>
      </c>
      <c r="P121" s="474">
        <f t="shared" si="23"/>
        <v>0</v>
      </c>
      <c r="Q121" s="474">
        <f>SUM(O121,P119:P121)</f>
        <v>106372.24842870871</v>
      </c>
      <c r="R121" s="506"/>
    </row>
    <row r="122" spans="2:18" ht="14.1" customHeight="1" x14ac:dyDescent="0.2">
      <c r="B122" s="493">
        <f t="shared" si="20"/>
        <v>48334</v>
      </c>
      <c r="C122" s="469">
        <f t="shared" si="24"/>
        <v>100</v>
      </c>
      <c r="D122" s="494">
        <f t="shared" si="21"/>
        <v>78</v>
      </c>
      <c r="E122" s="490">
        <v>0</v>
      </c>
      <c r="F122" s="491">
        <f t="shared" si="25"/>
        <v>78</v>
      </c>
      <c r="G122" s="490">
        <v>0</v>
      </c>
      <c r="H122" s="491">
        <f t="shared" si="22"/>
        <v>78</v>
      </c>
      <c r="I122" s="492">
        <f t="shared" si="18"/>
        <v>1</v>
      </c>
      <c r="J122" s="505"/>
      <c r="N122" s="474">
        <f t="shared" si="19"/>
        <v>0</v>
      </c>
      <c r="O122" s="474">
        <f t="shared" si="26"/>
        <v>106634.59108962653</v>
      </c>
      <c r="P122" s="474">
        <f t="shared" si="23"/>
        <v>0</v>
      </c>
      <c r="Q122" s="474">
        <f>SUM(O122,P119:P122)</f>
        <v>106634.59108962653</v>
      </c>
      <c r="R122" s="506"/>
    </row>
    <row r="123" spans="2:18" ht="14.1" customHeight="1" x14ac:dyDescent="0.2">
      <c r="B123" s="493">
        <f t="shared" si="20"/>
        <v>48365</v>
      </c>
      <c r="C123" s="469">
        <f t="shared" si="24"/>
        <v>101</v>
      </c>
      <c r="D123" s="494">
        <f t="shared" si="21"/>
        <v>78</v>
      </c>
      <c r="E123" s="490">
        <v>0</v>
      </c>
      <c r="F123" s="491">
        <f t="shared" si="25"/>
        <v>78</v>
      </c>
      <c r="G123" s="490">
        <v>0</v>
      </c>
      <c r="H123" s="491">
        <f t="shared" si="22"/>
        <v>78</v>
      </c>
      <c r="I123" s="492">
        <f t="shared" si="18"/>
        <v>1</v>
      </c>
      <c r="J123" s="505"/>
      <c r="N123" s="474">
        <f t="shared" si="19"/>
        <v>0</v>
      </c>
      <c r="O123" s="474">
        <f t="shared" si="26"/>
        <v>106897.58075831897</v>
      </c>
      <c r="P123" s="474">
        <f t="shared" si="23"/>
        <v>0</v>
      </c>
      <c r="Q123" s="474">
        <f>SUM(O123,P119:P123)</f>
        <v>106897.58075831897</v>
      </c>
      <c r="R123" s="506"/>
    </row>
    <row r="124" spans="2:18" ht="14.1" customHeight="1" x14ac:dyDescent="0.2">
      <c r="B124" s="493">
        <f t="shared" si="20"/>
        <v>48395</v>
      </c>
      <c r="C124" s="469">
        <f t="shared" si="24"/>
        <v>102</v>
      </c>
      <c r="D124" s="494">
        <f t="shared" si="21"/>
        <v>78</v>
      </c>
      <c r="E124" s="490">
        <v>0</v>
      </c>
      <c r="F124" s="491">
        <f t="shared" si="25"/>
        <v>78</v>
      </c>
      <c r="G124" s="490">
        <v>0</v>
      </c>
      <c r="H124" s="491">
        <f t="shared" si="22"/>
        <v>78</v>
      </c>
      <c r="I124" s="492">
        <f t="shared" si="18"/>
        <v>1</v>
      </c>
      <c r="J124" s="505"/>
      <c r="N124" s="474">
        <f t="shared" si="19"/>
        <v>0</v>
      </c>
      <c r="O124" s="474">
        <f t="shared" si="26"/>
        <v>107161.21903048176</v>
      </c>
      <c r="P124" s="474">
        <f t="shared" si="23"/>
        <v>0</v>
      </c>
      <c r="Q124" s="474">
        <f>SUM(O124,P119:P124)</f>
        <v>107161.21903048176</v>
      </c>
      <c r="R124" s="506"/>
    </row>
    <row r="125" spans="2:18" ht="14.1" customHeight="1" x14ac:dyDescent="0.2">
      <c r="B125" s="493">
        <f t="shared" si="20"/>
        <v>48426</v>
      </c>
      <c r="C125" s="469">
        <f t="shared" si="24"/>
        <v>103</v>
      </c>
      <c r="D125" s="494">
        <f t="shared" si="21"/>
        <v>78</v>
      </c>
      <c r="E125" s="490">
        <v>0</v>
      </c>
      <c r="F125" s="491">
        <f t="shared" si="25"/>
        <v>78</v>
      </c>
      <c r="G125" s="490">
        <v>0</v>
      </c>
      <c r="H125" s="491">
        <f t="shared" si="22"/>
        <v>78</v>
      </c>
      <c r="I125" s="492">
        <f t="shared" si="18"/>
        <v>1</v>
      </c>
      <c r="J125" s="505"/>
      <c r="N125" s="474">
        <f t="shared" si="19"/>
        <v>0</v>
      </c>
      <c r="O125" s="474">
        <f t="shared" si="26"/>
        <v>107425.50750574602</v>
      </c>
      <c r="P125" s="474">
        <f t="shared" si="23"/>
        <v>0</v>
      </c>
      <c r="Q125" s="474">
        <f>SUM(O125,P119:P125)</f>
        <v>107425.50750574602</v>
      </c>
      <c r="R125" s="506"/>
    </row>
    <row r="126" spans="2:18" ht="14.1" customHeight="1" x14ac:dyDescent="0.2">
      <c r="B126" s="493">
        <f t="shared" si="20"/>
        <v>48457</v>
      </c>
      <c r="C126" s="469">
        <f t="shared" si="24"/>
        <v>104</v>
      </c>
      <c r="D126" s="494">
        <f t="shared" si="21"/>
        <v>78</v>
      </c>
      <c r="E126" s="490">
        <v>0</v>
      </c>
      <c r="F126" s="491">
        <f t="shared" si="25"/>
        <v>78</v>
      </c>
      <c r="G126" s="490">
        <v>0</v>
      </c>
      <c r="H126" s="491">
        <f t="shared" si="22"/>
        <v>78</v>
      </c>
      <c r="I126" s="492">
        <f t="shared" si="18"/>
        <v>1</v>
      </c>
      <c r="J126" s="505"/>
      <c r="N126" s="474">
        <f t="shared" si="19"/>
        <v>0</v>
      </c>
      <c r="O126" s="474">
        <f t="shared" si="26"/>
        <v>107690.447787688</v>
      </c>
      <c r="P126" s="474">
        <f t="shared" si="23"/>
        <v>0</v>
      </c>
      <c r="Q126" s="474">
        <f>SUM(O126,P119:P126)</f>
        <v>107690.447787688</v>
      </c>
      <c r="R126" s="506"/>
    </row>
    <row r="127" spans="2:18" ht="14.1" customHeight="1" x14ac:dyDescent="0.2">
      <c r="B127" s="493">
        <f t="shared" si="20"/>
        <v>48487</v>
      </c>
      <c r="C127" s="469">
        <f t="shared" si="24"/>
        <v>105</v>
      </c>
      <c r="D127" s="494">
        <f t="shared" si="21"/>
        <v>78</v>
      </c>
      <c r="E127" s="490">
        <v>0</v>
      </c>
      <c r="F127" s="491">
        <f t="shared" si="25"/>
        <v>78</v>
      </c>
      <c r="G127" s="490">
        <v>0</v>
      </c>
      <c r="H127" s="491">
        <f t="shared" si="22"/>
        <v>78</v>
      </c>
      <c r="I127" s="492">
        <f t="shared" si="18"/>
        <v>1</v>
      </c>
      <c r="J127" s="505"/>
      <c r="N127" s="474">
        <f t="shared" si="19"/>
        <v>0</v>
      </c>
      <c r="O127" s="474">
        <f t="shared" si="26"/>
        <v>107956.04148383881</v>
      </c>
      <c r="P127" s="474">
        <f t="shared" si="23"/>
        <v>0</v>
      </c>
      <c r="Q127" s="474">
        <f>SUM(O127,P119:P127)</f>
        <v>107956.04148383881</v>
      </c>
      <c r="R127" s="506"/>
    </row>
    <row r="128" spans="2:18" ht="14.1" customHeight="1" x14ac:dyDescent="0.2">
      <c r="B128" s="493">
        <f t="shared" si="20"/>
        <v>48518</v>
      </c>
      <c r="C128" s="469">
        <f t="shared" si="24"/>
        <v>106</v>
      </c>
      <c r="D128" s="494">
        <f t="shared" si="21"/>
        <v>78</v>
      </c>
      <c r="E128" s="490">
        <v>0</v>
      </c>
      <c r="F128" s="491">
        <f t="shared" si="25"/>
        <v>78</v>
      </c>
      <c r="G128" s="490">
        <v>0</v>
      </c>
      <c r="H128" s="491">
        <f t="shared" si="22"/>
        <v>78</v>
      </c>
      <c r="I128" s="492">
        <f t="shared" si="18"/>
        <v>1</v>
      </c>
      <c r="J128" s="505"/>
      <c r="N128" s="474">
        <f t="shared" si="19"/>
        <v>0</v>
      </c>
      <c r="O128" s="474">
        <f t="shared" si="26"/>
        <v>108222.29020569417</v>
      </c>
      <c r="P128" s="474">
        <f t="shared" si="23"/>
        <v>0</v>
      </c>
      <c r="Q128" s="474">
        <f>SUM(O128,P119:P128)</f>
        <v>108222.29020569417</v>
      </c>
      <c r="R128" s="506"/>
    </row>
    <row r="129" spans="2:18" ht="14.1" customHeight="1" thickBot="1" x14ac:dyDescent="0.25">
      <c r="B129" s="493">
        <f t="shared" si="20"/>
        <v>48548</v>
      </c>
      <c r="C129" s="469">
        <f t="shared" si="24"/>
        <v>107</v>
      </c>
      <c r="D129" s="494">
        <f t="shared" si="21"/>
        <v>78</v>
      </c>
      <c r="E129" s="490">
        <v>0</v>
      </c>
      <c r="F129" s="491">
        <f t="shared" si="25"/>
        <v>78</v>
      </c>
      <c r="G129" s="490">
        <v>0</v>
      </c>
      <c r="H129" s="491">
        <f t="shared" si="22"/>
        <v>78</v>
      </c>
      <c r="I129" s="492">
        <f t="shared" si="18"/>
        <v>1</v>
      </c>
      <c r="J129" s="505"/>
      <c r="N129" s="474">
        <f t="shared" si="19"/>
        <v>0</v>
      </c>
      <c r="O129" s="474">
        <f t="shared" si="26"/>
        <v>108489.19556872417</v>
      </c>
      <c r="P129" s="474">
        <f t="shared" si="23"/>
        <v>0</v>
      </c>
      <c r="Q129" s="474">
        <f>SUM(O129,P119:P129)</f>
        <v>108489.19556872417</v>
      </c>
      <c r="R129" s="506"/>
    </row>
    <row r="130" spans="2:18" ht="14.1" customHeight="1" thickBot="1" x14ac:dyDescent="0.25">
      <c r="B130" s="493">
        <f t="shared" si="20"/>
        <v>48579</v>
      </c>
      <c r="C130" s="469">
        <f t="shared" si="24"/>
        <v>108</v>
      </c>
      <c r="D130" s="494">
        <f t="shared" si="21"/>
        <v>78</v>
      </c>
      <c r="E130" s="490">
        <v>0</v>
      </c>
      <c r="F130" s="491">
        <f t="shared" si="25"/>
        <v>78</v>
      </c>
      <c r="G130" s="490">
        <v>0</v>
      </c>
      <c r="H130" s="491">
        <f t="shared" si="22"/>
        <v>78</v>
      </c>
      <c r="I130" s="492">
        <f t="shared" si="18"/>
        <v>1</v>
      </c>
      <c r="J130" s="498">
        <f>IF($F$1="No",1,AVERAGE(I119:I130))</f>
        <v>1</v>
      </c>
      <c r="K130" s="499" t="s">
        <v>335</v>
      </c>
      <c r="L130" s="500"/>
      <c r="N130" s="474">
        <f t="shared" si="19"/>
        <v>0</v>
      </c>
      <c r="O130" s="474">
        <f t="shared" si="26"/>
        <v>108756.75919238309</v>
      </c>
      <c r="P130" s="474">
        <f t="shared" si="23"/>
        <v>0</v>
      </c>
      <c r="Q130" s="474">
        <f>SUM(O130,P119:P130)</f>
        <v>108756.75919238309</v>
      </c>
      <c r="R130" s="507">
        <f>Q130/Q118-1</f>
        <v>3.0000000000709903E-2</v>
      </c>
    </row>
    <row r="131" spans="2:18" ht="14.1" customHeight="1" x14ac:dyDescent="0.2">
      <c r="B131" s="493">
        <f t="shared" si="20"/>
        <v>48610</v>
      </c>
      <c r="C131" s="469">
        <f t="shared" si="24"/>
        <v>109</v>
      </c>
      <c r="D131" s="494">
        <f t="shared" si="21"/>
        <v>78</v>
      </c>
      <c r="E131" s="490">
        <v>0</v>
      </c>
      <c r="F131" s="491">
        <f t="shared" si="25"/>
        <v>78</v>
      </c>
      <c r="G131" s="490">
        <v>0</v>
      </c>
      <c r="H131" s="491">
        <f t="shared" si="22"/>
        <v>78</v>
      </c>
      <c r="I131" s="492">
        <f t="shared" si="18"/>
        <v>1</v>
      </c>
      <c r="J131" s="505"/>
      <c r="N131" s="474">
        <f t="shared" si="19"/>
        <v>0</v>
      </c>
      <c r="O131" s="502">
        <f>IF($C131=1,$I$18,Q130)*(1+(RATE(12,,-1,1+SUMIF($K$21:$K$31,ROUNDUP($C131/12,0),$L$21:$L$31))))</f>
        <v>109024.98270011923</v>
      </c>
      <c r="P131" s="474">
        <f t="shared" si="23"/>
        <v>0</v>
      </c>
      <c r="Q131" s="474">
        <f>SUM(O131,P131:P131)</f>
        <v>109024.98270011923</v>
      </c>
      <c r="R131" s="506"/>
    </row>
    <row r="132" spans="2:18" ht="14.1" customHeight="1" x14ac:dyDescent="0.2">
      <c r="B132" s="493">
        <f t="shared" si="20"/>
        <v>48638</v>
      </c>
      <c r="C132" s="469">
        <f t="shared" si="24"/>
        <v>110</v>
      </c>
      <c r="D132" s="494">
        <f t="shared" si="21"/>
        <v>78</v>
      </c>
      <c r="E132" s="490">
        <v>0</v>
      </c>
      <c r="F132" s="491">
        <f t="shared" si="25"/>
        <v>78</v>
      </c>
      <c r="G132" s="490">
        <v>0</v>
      </c>
      <c r="H132" s="491">
        <f t="shared" si="22"/>
        <v>78</v>
      </c>
      <c r="I132" s="492">
        <f t="shared" si="18"/>
        <v>1</v>
      </c>
      <c r="J132" s="505"/>
      <c r="N132" s="474">
        <f t="shared" si="19"/>
        <v>0</v>
      </c>
      <c r="O132" s="474">
        <f t="shared" si="26"/>
        <v>109293.86771938474</v>
      </c>
      <c r="P132" s="474">
        <f t="shared" si="23"/>
        <v>0</v>
      </c>
      <c r="Q132" s="474">
        <f>SUM(O132,P131:P132)</f>
        <v>109293.86771938474</v>
      </c>
      <c r="R132" s="506"/>
    </row>
    <row r="133" spans="2:18" ht="14.1" customHeight="1" x14ac:dyDescent="0.2">
      <c r="B133" s="493">
        <f t="shared" si="20"/>
        <v>48669</v>
      </c>
      <c r="C133" s="469">
        <f t="shared" si="24"/>
        <v>111</v>
      </c>
      <c r="D133" s="494">
        <f t="shared" si="21"/>
        <v>78</v>
      </c>
      <c r="E133" s="490">
        <v>0</v>
      </c>
      <c r="F133" s="491">
        <f t="shared" si="25"/>
        <v>78</v>
      </c>
      <c r="G133" s="490">
        <v>0</v>
      </c>
      <c r="H133" s="491">
        <f t="shared" si="22"/>
        <v>78</v>
      </c>
      <c r="I133" s="492">
        <f t="shared" si="18"/>
        <v>1</v>
      </c>
      <c r="J133" s="505"/>
      <c r="N133" s="474">
        <f t="shared" si="19"/>
        <v>0</v>
      </c>
      <c r="O133" s="474">
        <f t="shared" si="26"/>
        <v>109563.4158816455</v>
      </c>
      <c r="P133" s="474">
        <f t="shared" si="23"/>
        <v>0</v>
      </c>
      <c r="Q133" s="474">
        <f>SUM(O133,P131:P133)</f>
        <v>109563.4158816455</v>
      </c>
      <c r="R133" s="506"/>
    </row>
    <row r="134" spans="2:18" ht="14.1" customHeight="1" x14ac:dyDescent="0.2">
      <c r="B134" s="493">
        <f t="shared" si="20"/>
        <v>48699</v>
      </c>
      <c r="C134" s="469">
        <f t="shared" si="24"/>
        <v>112</v>
      </c>
      <c r="D134" s="494">
        <f t="shared" si="21"/>
        <v>78</v>
      </c>
      <c r="E134" s="490">
        <v>0</v>
      </c>
      <c r="F134" s="491">
        <f t="shared" si="25"/>
        <v>78</v>
      </c>
      <c r="G134" s="490">
        <v>0</v>
      </c>
      <c r="H134" s="491">
        <f t="shared" si="22"/>
        <v>78</v>
      </c>
      <c r="I134" s="492">
        <f t="shared" si="18"/>
        <v>1</v>
      </c>
      <c r="J134" s="505"/>
      <c r="N134" s="474">
        <f t="shared" si="19"/>
        <v>0</v>
      </c>
      <c r="O134" s="474">
        <f t="shared" si="26"/>
        <v>109833.62882239104</v>
      </c>
      <c r="P134" s="474">
        <f t="shared" si="23"/>
        <v>0</v>
      </c>
      <c r="Q134" s="474">
        <f>SUM(O134,P131:P134)</f>
        <v>109833.62882239104</v>
      </c>
      <c r="R134" s="506"/>
    </row>
    <row r="135" spans="2:18" ht="14.1" customHeight="1" x14ac:dyDescent="0.2">
      <c r="B135" s="493">
        <f t="shared" si="20"/>
        <v>48730</v>
      </c>
      <c r="C135" s="469">
        <f t="shared" si="24"/>
        <v>113</v>
      </c>
      <c r="D135" s="494">
        <f t="shared" si="21"/>
        <v>78</v>
      </c>
      <c r="E135" s="490">
        <v>0</v>
      </c>
      <c r="F135" s="491">
        <f t="shared" si="25"/>
        <v>78</v>
      </c>
      <c r="G135" s="490">
        <v>0</v>
      </c>
      <c r="H135" s="491">
        <f t="shared" si="22"/>
        <v>78</v>
      </c>
      <c r="I135" s="492">
        <f t="shared" si="18"/>
        <v>1</v>
      </c>
      <c r="J135" s="505"/>
      <c r="N135" s="474">
        <f t="shared" si="19"/>
        <v>0</v>
      </c>
      <c r="O135" s="474">
        <f t="shared" si="26"/>
        <v>110104.50818114444</v>
      </c>
      <c r="P135" s="474">
        <f t="shared" si="23"/>
        <v>0</v>
      </c>
      <c r="Q135" s="474">
        <f>SUM(O135,P131:P135)</f>
        <v>110104.50818114444</v>
      </c>
      <c r="R135" s="506"/>
    </row>
    <row r="136" spans="2:18" ht="14.1" customHeight="1" x14ac:dyDescent="0.2">
      <c r="B136" s="493">
        <f t="shared" si="20"/>
        <v>48760</v>
      </c>
      <c r="C136" s="469">
        <f t="shared" si="24"/>
        <v>114</v>
      </c>
      <c r="D136" s="494">
        <f t="shared" si="21"/>
        <v>78</v>
      </c>
      <c r="E136" s="490">
        <v>0</v>
      </c>
      <c r="F136" s="491">
        <f t="shared" si="25"/>
        <v>78</v>
      </c>
      <c r="G136" s="490">
        <v>0</v>
      </c>
      <c r="H136" s="491">
        <f t="shared" si="22"/>
        <v>78</v>
      </c>
      <c r="I136" s="492">
        <f t="shared" si="18"/>
        <v>1</v>
      </c>
      <c r="J136" s="505"/>
      <c r="N136" s="474">
        <f t="shared" si="19"/>
        <v>0</v>
      </c>
      <c r="O136" s="474">
        <f t="shared" si="26"/>
        <v>110376.0556014723</v>
      </c>
      <c r="P136" s="474">
        <f t="shared" si="23"/>
        <v>0</v>
      </c>
      <c r="Q136" s="474">
        <f>SUM(O136,P131:P136)</f>
        <v>110376.0556014723</v>
      </c>
      <c r="R136" s="506"/>
    </row>
    <row r="137" spans="2:18" ht="14.1" customHeight="1" x14ac:dyDescent="0.2">
      <c r="B137" s="493">
        <f t="shared" si="20"/>
        <v>48791</v>
      </c>
      <c r="C137" s="469">
        <f t="shared" si="24"/>
        <v>115</v>
      </c>
      <c r="D137" s="494">
        <f t="shared" si="21"/>
        <v>78</v>
      </c>
      <c r="E137" s="490">
        <v>0</v>
      </c>
      <c r="F137" s="491">
        <f t="shared" si="25"/>
        <v>78</v>
      </c>
      <c r="G137" s="490">
        <v>0</v>
      </c>
      <c r="H137" s="491">
        <f t="shared" si="22"/>
        <v>78</v>
      </c>
      <c r="I137" s="492">
        <f t="shared" si="18"/>
        <v>1</v>
      </c>
      <c r="J137" s="505"/>
      <c r="N137" s="474">
        <f t="shared" si="19"/>
        <v>0</v>
      </c>
      <c r="O137" s="474">
        <f t="shared" si="26"/>
        <v>110648.27273099466</v>
      </c>
      <c r="P137" s="474">
        <f t="shared" si="23"/>
        <v>0</v>
      </c>
      <c r="Q137" s="474">
        <f>SUM(O137,P131:P137)</f>
        <v>110648.27273099466</v>
      </c>
      <c r="R137" s="506"/>
    </row>
    <row r="138" spans="2:18" ht="14.1" customHeight="1" x14ac:dyDescent="0.2">
      <c r="B138" s="493">
        <f t="shared" si="20"/>
        <v>48822</v>
      </c>
      <c r="C138" s="469">
        <f t="shared" si="24"/>
        <v>116</v>
      </c>
      <c r="D138" s="494">
        <f t="shared" si="21"/>
        <v>78</v>
      </c>
      <c r="E138" s="490">
        <v>0</v>
      </c>
      <c r="F138" s="491">
        <f t="shared" si="25"/>
        <v>78</v>
      </c>
      <c r="G138" s="490">
        <v>0</v>
      </c>
      <c r="H138" s="491">
        <f t="shared" si="22"/>
        <v>78</v>
      </c>
      <c r="I138" s="492">
        <f t="shared" si="18"/>
        <v>1</v>
      </c>
      <c r="J138" s="505"/>
      <c r="N138" s="474">
        <f t="shared" si="19"/>
        <v>0</v>
      </c>
      <c r="O138" s="474">
        <f t="shared" si="26"/>
        <v>110921.16122139509</v>
      </c>
      <c r="P138" s="474">
        <f t="shared" si="23"/>
        <v>0</v>
      </c>
      <c r="Q138" s="474">
        <f>SUM(O138,P131:P138)</f>
        <v>110921.16122139509</v>
      </c>
      <c r="R138" s="506"/>
    </row>
    <row r="139" spans="2:18" ht="14.1" customHeight="1" x14ac:dyDescent="0.2">
      <c r="B139" s="493">
        <f t="shared" si="20"/>
        <v>48852</v>
      </c>
      <c r="C139" s="469">
        <f t="shared" si="24"/>
        <v>117</v>
      </c>
      <c r="D139" s="494">
        <f t="shared" si="21"/>
        <v>78</v>
      </c>
      <c r="E139" s="490">
        <v>0</v>
      </c>
      <c r="F139" s="491">
        <f t="shared" si="25"/>
        <v>78</v>
      </c>
      <c r="G139" s="490">
        <v>0</v>
      </c>
      <c r="H139" s="491">
        <f t="shared" si="22"/>
        <v>78</v>
      </c>
      <c r="I139" s="492">
        <f t="shared" si="18"/>
        <v>1</v>
      </c>
      <c r="J139" s="505"/>
      <c r="N139" s="474">
        <f t="shared" si="19"/>
        <v>0</v>
      </c>
      <c r="O139" s="474">
        <f t="shared" si="26"/>
        <v>111194.72272843061</v>
      </c>
      <c r="P139" s="474">
        <f t="shared" si="23"/>
        <v>0</v>
      </c>
      <c r="Q139" s="474">
        <f>SUM(O139,P131:P139)</f>
        <v>111194.72272843061</v>
      </c>
      <c r="R139" s="506"/>
    </row>
    <row r="140" spans="2:18" ht="14.1" customHeight="1" x14ac:dyDescent="0.2">
      <c r="B140" s="493">
        <f t="shared" si="20"/>
        <v>48883</v>
      </c>
      <c r="C140" s="469">
        <f t="shared" si="24"/>
        <v>118</v>
      </c>
      <c r="D140" s="494">
        <f t="shared" si="21"/>
        <v>78</v>
      </c>
      <c r="E140" s="490">
        <v>0</v>
      </c>
      <c r="F140" s="491">
        <f t="shared" si="25"/>
        <v>78</v>
      </c>
      <c r="G140" s="490">
        <v>0</v>
      </c>
      <c r="H140" s="491">
        <f t="shared" si="22"/>
        <v>78</v>
      </c>
      <c r="I140" s="492">
        <f t="shared" si="18"/>
        <v>1</v>
      </c>
      <c r="J140" s="505"/>
      <c r="N140" s="474">
        <f t="shared" si="19"/>
        <v>0</v>
      </c>
      <c r="O140" s="474">
        <f t="shared" si="26"/>
        <v>111468.95891194182</v>
      </c>
      <c r="P140" s="474">
        <f t="shared" si="23"/>
        <v>0</v>
      </c>
      <c r="Q140" s="474">
        <f>SUM(O140,P131:P140)</f>
        <v>111468.95891194182</v>
      </c>
      <c r="R140" s="506"/>
    </row>
    <row r="141" spans="2:18" ht="14.1" customHeight="1" thickBot="1" x14ac:dyDescent="0.25">
      <c r="B141" s="493">
        <f t="shared" si="20"/>
        <v>48913</v>
      </c>
      <c r="C141" s="469">
        <f t="shared" si="24"/>
        <v>119</v>
      </c>
      <c r="D141" s="494">
        <f t="shared" si="21"/>
        <v>78</v>
      </c>
      <c r="E141" s="490">
        <v>0</v>
      </c>
      <c r="F141" s="491">
        <f t="shared" si="25"/>
        <v>78</v>
      </c>
      <c r="G141" s="490">
        <v>0</v>
      </c>
      <c r="H141" s="491">
        <f t="shared" si="22"/>
        <v>78</v>
      </c>
      <c r="I141" s="492">
        <f t="shared" si="18"/>
        <v>1</v>
      </c>
      <c r="J141" s="505"/>
      <c r="N141" s="474">
        <f t="shared" si="19"/>
        <v>0</v>
      </c>
      <c r="O141" s="474">
        <f t="shared" si="26"/>
        <v>111743.87143586292</v>
      </c>
      <c r="P141" s="474">
        <f t="shared" si="23"/>
        <v>0</v>
      </c>
      <c r="Q141" s="474">
        <f>SUM(O141,P131:P141)</f>
        <v>111743.87143586292</v>
      </c>
      <c r="R141" s="506"/>
    </row>
    <row r="142" spans="2:18" ht="14.1" customHeight="1" thickBot="1" x14ac:dyDescent="0.25">
      <c r="B142" s="493">
        <f t="shared" si="20"/>
        <v>48944</v>
      </c>
      <c r="C142" s="469">
        <f t="shared" si="24"/>
        <v>120</v>
      </c>
      <c r="D142" s="494">
        <f t="shared" si="21"/>
        <v>78</v>
      </c>
      <c r="E142" s="490">
        <v>0</v>
      </c>
      <c r="F142" s="491">
        <f t="shared" si="25"/>
        <v>78</v>
      </c>
      <c r="G142" s="490">
        <v>0</v>
      </c>
      <c r="H142" s="491">
        <f t="shared" si="22"/>
        <v>78</v>
      </c>
      <c r="I142" s="492">
        <f t="shared" si="18"/>
        <v>1</v>
      </c>
      <c r="J142" s="498">
        <f>IF($F$1="No",1,AVERAGE(I131:I142))</f>
        <v>1</v>
      </c>
      <c r="K142" s="499" t="s">
        <v>336</v>
      </c>
      <c r="L142" s="500"/>
      <c r="N142" s="474">
        <f t="shared" si="19"/>
        <v>0</v>
      </c>
      <c r="O142" s="474">
        <f t="shared" si="26"/>
        <v>112019.4619682318</v>
      </c>
      <c r="P142" s="474">
        <f t="shared" si="23"/>
        <v>0</v>
      </c>
      <c r="Q142" s="474">
        <f>SUM(O142,P131:P142)</f>
        <v>112019.4619682318</v>
      </c>
      <c r="R142" s="507">
        <f>Q142/Q130-1</f>
        <v>3.0000000000709903E-2</v>
      </c>
    </row>
    <row r="143" spans="2:18" ht="14.1" customHeight="1" x14ac:dyDescent="0.2">
      <c r="B143" s="493">
        <f t="shared" si="20"/>
        <v>48975</v>
      </c>
      <c r="C143" s="469">
        <f t="shared" si="24"/>
        <v>121</v>
      </c>
      <c r="D143" s="494">
        <f t="shared" si="21"/>
        <v>78</v>
      </c>
      <c r="E143" s="490">
        <v>0</v>
      </c>
      <c r="F143" s="491">
        <f t="shared" si="25"/>
        <v>78</v>
      </c>
      <c r="G143" s="490">
        <v>0</v>
      </c>
      <c r="H143" s="491">
        <f t="shared" si="22"/>
        <v>78</v>
      </c>
      <c r="I143" s="492">
        <f t="shared" si="18"/>
        <v>1</v>
      </c>
      <c r="J143" s="505"/>
      <c r="N143" s="474">
        <f t="shared" si="19"/>
        <v>0</v>
      </c>
      <c r="O143" s="502">
        <f>IF($C143=1,$I$18,Q142)*(1+(RATE(12,,-1,1+SUMIF($K$21:$K$31,ROUNDUP($C143/12,0),$L$21:$L$31))))</f>
        <v>112295.73218120022</v>
      </c>
      <c r="P143" s="474">
        <f t="shared" si="23"/>
        <v>0</v>
      </c>
      <c r="Q143" s="474">
        <f>SUM(O143,P143:P143)</f>
        <v>112295.73218120022</v>
      </c>
      <c r="R143" s="506"/>
    </row>
    <row r="144" spans="2:18" ht="14.1" customHeight="1" x14ac:dyDescent="0.2">
      <c r="B144" s="493">
        <f t="shared" si="20"/>
        <v>49003</v>
      </c>
      <c r="C144" s="469">
        <f t="shared" si="24"/>
        <v>122</v>
      </c>
      <c r="D144" s="494">
        <f t="shared" si="21"/>
        <v>78</v>
      </c>
      <c r="E144" s="490">
        <v>0</v>
      </c>
      <c r="F144" s="491">
        <f t="shared" si="25"/>
        <v>78</v>
      </c>
      <c r="G144" s="490">
        <v>0</v>
      </c>
      <c r="H144" s="491">
        <f t="shared" si="22"/>
        <v>78</v>
      </c>
      <c r="I144" s="492">
        <f t="shared" si="18"/>
        <v>1</v>
      </c>
      <c r="J144" s="505"/>
      <c r="N144" s="474">
        <f t="shared" si="19"/>
        <v>0</v>
      </c>
      <c r="O144" s="474">
        <f t="shared" si="26"/>
        <v>112572.68375104388</v>
      </c>
      <c r="P144" s="474">
        <f t="shared" si="23"/>
        <v>0</v>
      </c>
      <c r="Q144" s="474">
        <f>SUM(O144,P143:P144)</f>
        <v>112572.68375104388</v>
      </c>
      <c r="R144" s="506"/>
    </row>
    <row r="145" spans="2:18" ht="14.1" customHeight="1" x14ac:dyDescent="0.2">
      <c r="B145" s="493">
        <f t="shared" si="20"/>
        <v>49034</v>
      </c>
      <c r="C145" s="469">
        <f t="shared" si="24"/>
        <v>123</v>
      </c>
      <c r="D145" s="494">
        <f t="shared" si="21"/>
        <v>78</v>
      </c>
      <c r="E145" s="490">
        <v>0</v>
      </c>
      <c r="F145" s="491">
        <f t="shared" si="25"/>
        <v>78</v>
      </c>
      <c r="G145" s="490">
        <v>0</v>
      </c>
      <c r="H145" s="491">
        <f t="shared" si="22"/>
        <v>78</v>
      </c>
      <c r="I145" s="492">
        <f t="shared" si="18"/>
        <v>1</v>
      </c>
      <c r="J145" s="505"/>
      <c r="N145" s="474">
        <f t="shared" si="19"/>
        <v>0</v>
      </c>
      <c r="O145" s="474">
        <f t="shared" si="26"/>
        <v>112850.31835817265</v>
      </c>
      <c r="P145" s="474">
        <f t="shared" si="23"/>
        <v>0</v>
      </c>
      <c r="Q145" s="474">
        <f>SUM(O145,P143:P145)</f>
        <v>112850.31835817265</v>
      </c>
      <c r="R145" s="506"/>
    </row>
    <row r="146" spans="2:18" ht="14.1" customHeight="1" x14ac:dyDescent="0.2">
      <c r="B146" s="493">
        <f t="shared" si="20"/>
        <v>49064</v>
      </c>
      <c r="C146" s="469">
        <f t="shared" si="24"/>
        <v>124</v>
      </c>
      <c r="D146" s="494">
        <f t="shared" si="21"/>
        <v>78</v>
      </c>
      <c r="E146" s="490">
        <v>0</v>
      </c>
      <c r="F146" s="491">
        <f t="shared" si="25"/>
        <v>78</v>
      </c>
      <c r="G146" s="490">
        <v>0</v>
      </c>
      <c r="H146" s="491">
        <f t="shared" si="22"/>
        <v>78</v>
      </c>
      <c r="I146" s="492">
        <f t="shared" si="18"/>
        <v>1</v>
      </c>
      <c r="J146" s="505"/>
      <c r="N146" s="474">
        <f t="shared" si="19"/>
        <v>0</v>
      </c>
      <c r="O146" s="474">
        <f t="shared" si="26"/>
        <v>113128.63768714074</v>
      </c>
      <c r="P146" s="474">
        <f t="shared" si="23"/>
        <v>0</v>
      </c>
      <c r="Q146" s="474">
        <f>SUM(O146,P143:P146)</f>
        <v>113128.63768714074</v>
      </c>
      <c r="R146" s="506"/>
    </row>
    <row r="147" spans="2:18" ht="14.1" customHeight="1" x14ac:dyDescent="0.2">
      <c r="B147" s="493">
        <f t="shared" si="20"/>
        <v>49095</v>
      </c>
      <c r="C147" s="469">
        <f t="shared" si="24"/>
        <v>125</v>
      </c>
      <c r="D147" s="494">
        <f t="shared" si="21"/>
        <v>78</v>
      </c>
      <c r="E147" s="490">
        <v>0</v>
      </c>
      <c r="F147" s="491">
        <f t="shared" si="25"/>
        <v>78</v>
      </c>
      <c r="G147" s="490">
        <v>0</v>
      </c>
      <c r="H147" s="491">
        <f t="shared" si="22"/>
        <v>78</v>
      </c>
      <c r="I147" s="492">
        <f t="shared" si="18"/>
        <v>1</v>
      </c>
      <c r="J147" s="505"/>
      <c r="N147" s="474">
        <f t="shared" si="19"/>
        <v>0</v>
      </c>
      <c r="O147" s="474">
        <f t="shared" si="26"/>
        <v>113407.64342665694</v>
      </c>
      <c r="P147" s="474">
        <f t="shared" si="23"/>
        <v>0</v>
      </c>
      <c r="Q147" s="474">
        <f>SUM(O147,P143:P147)</f>
        <v>113407.64342665694</v>
      </c>
      <c r="R147" s="506"/>
    </row>
    <row r="148" spans="2:18" ht="14.1" customHeight="1" x14ac:dyDescent="0.2">
      <c r="B148" s="493">
        <f t="shared" si="20"/>
        <v>49125</v>
      </c>
      <c r="C148" s="469">
        <f t="shared" si="24"/>
        <v>126</v>
      </c>
      <c r="D148" s="494">
        <f t="shared" si="21"/>
        <v>78</v>
      </c>
      <c r="E148" s="490">
        <v>0</v>
      </c>
      <c r="F148" s="491">
        <f t="shared" si="25"/>
        <v>78</v>
      </c>
      <c r="G148" s="490">
        <v>0</v>
      </c>
      <c r="H148" s="491">
        <f t="shared" si="22"/>
        <v>78</v>
      </c>
      <c r="I148" s="492">
        <f t="shared" si="18"/>
        <v>1</v>
      </c>
      <c r="J148" s="505"/>
      <c r="N148" s="474">
        <f t="shared" si="19"/>
        <v>0</v>
      </c>
      <c r="O148" s="474">
        <f t="shared" si="26"/>
        <v>113687.33726959482</v>
      </c>
      <c r="P148" s="474">
        <f t="shared" si="23"/>
        <v>0</v>
      </c>
      <c r="Q148" s="474">
        <f>SUM(O148,P143:P148)</f>
        <v>113687.33726959482</v>
      </c>
      <c r="R148" s="506"/>
    </row>
    <row r="149" spans="2:18" ht="14.1" customHeight="1" x14ac:dyDescent="0.2">
      <c r="B149" s="493">
        <f t="shared" si="20"/>
        <v>49156</v>
      </c>
      <c r="C149" s="469">
        <f t="shared" si="24"/>
        <v>127</v>
      </c>
      <c r="D149" s="494">
        <f t="shared" si="21"/>
        <v>78</v>
      </c>
      <c r="E149" s="490">
        <v>0</v>
      </c>
      <c r="F149" s="491">
        <f t="shared" si="25"/>
        <v>78</v>
      </c>
      <c r="G149" s="490">
        <v>0</v>
      </c>
      <c r="H149" s="491">
        <f t="shared" si="22"/>
        <v>78</v>
      </c>
      <c r="I149" s="492">
        <f t="shared" si="18"/>
        <v>1</v>
      </c>
      <c r="J149" s="505"/>
      <c r="N149" s="474">
        <f t="shared" si="19"/>
        <v>0</v>
      </c>
      <c r="O149" s="474">
        <f t="shared" si="26"/>
        <v>113967.72091300305</v>
      </c>
      <c r="P149" s="474">
        <f t="shared" si="23"/>
        <v>0</v>
      </c>
      <c r="Q149" s="474">
        <f>SUM(O149,P143:P149)</f>
        <v>113967.72091300305</v>
      </c>
      <c r="R149" s="506"/>
    </row>
    <row r="150" spans="2:18" ht="14.1" customHeight="1" x14ac:dyDescent="0.2">
      <c r="B150" s="493">
        <f t="shared" si="20"/>
        <v>49187</v>
      </c>
      <c r="C150" s="469">
        <f t="shared" si="24"/>
        <v>128</v>
      </c>
      <c r="D150" s="494">
        <f t="shared" si="21"/>
        <v>78</v>
      </c>
      <c r="E150" s="490">
        <v>0</v>
      </c>
      <c r="F150" s="491">
        <f t="shared" si="25"/>
        <v>78</v>
      </c>
      <c r="G150" s="490">
        <v>0</v>
      </c>
      <c r="H150" s="491">
        <f t="shared" si="22"/>
        <v>78</v>
      </c>
      <c r="I150" s="492">
        <f t="shared" si="18"/>
        <v>1</v>
      </c>
      <c r="J150" s="505"/>
      <c r="N150" s="474">
        <f t="shared" si="19"/>
        <v>0</v>
      </c>
      <c r="O150" s="474">
        <f t="shared" si="26"/>
        <v>114248.79605811569</v>
      </c>
      <c r="P150" s="474">
        <f t="shared" si="23"/>
        <v>0</v>
      </c>
      <c r="Q150" s="474">
        <f>SUM(O150,P143:P150)</f>
        <v>114248.79605811569</v>
      </c>
      <c r="R150" s="506"/>
    </row>
    <row r="151" spans="2:18" ht="14.1" customHeight="1" x14ac:dyDescent="0.2">
      <c r="B151" s="493">
        <f t="shared" si="20"/>
        <v>49217</v>
      </c>
      <c r="C151" s="469">
        <f t="shared" si="24"/>
        <v>129</v>
      </c>
      <c r="D151" s="494">
        <f t="shared" si="21"/>
        <v>78</v>
      </c>
      <c r="E151" s="490">
        <v>0</v>
      </c>
      <c r="F151" s="491">
        <f t="shared" si="25"/>
        <v>78</v>
      </c>
      <c r="G151" s="490">
        <v>0</v>
      </c>
      <c r="H151" s="491">
        <f t="shared" si="22"/>
        <v>78</v>
      </c>
      <c r="I151" s="492">
        <f t="shared" ref="I151:I154" si="27">D151/$C$18</f>
        <v>1</v>
      </c>
      <c r="J151" s="505"/>
      <c r="N151" s="474">
        <f t="shared" ref="N151:N154" si="28">IF($F$1="No",0,E151/SUM($E$23:$E$154)*$P$18)</f>
        <v>0</v>
      </c>
      <c r="O151" s="474">
        <f t="shared" si="26"/>
        <v>114530.56441036248</v>
      </c>
      <c r="P151" s="474">
        <f t="shared" si="23"/>
        <v>0</v>
      </c>
      <c r="Q151" s="474">
        <f>SUM(O151,P143:P151)</f>
        <v>114530.56441036248</v>
      </c>
      <c r="R151" s="506"/>
    </row>
    <row r="152" spans="2:18" ht="14.1" customHeight="1" x14ac:dyDescent="0.2">
      <c r="B152" s="493">
        <f>EOMONTH(B151,1)</f>
        <v>49248</v>
      </c>
      <c r="C152" s="469">
        <f t="shared" si="24"/>
        <v>130</v>
      </c>
      <c r="D152" s="494">
        <f t="shared" ref="D152:D154" si="29">D151-E152+G152</f>
        <v>78</v>
      </c>
      <c r="E152" s="490">
        <v>0</v>
      </c>
      <c r="F152" s="491">
        <f t="shared" si="25"/>
        <v>78</v>
      </c>
      <c r="G152" s="490">
        <v>0</v>
      </c>
      <c r="H152" s="491">
        <f t="shared" ref="H152:H154" si="30">G152+H151</f>
        <v>78</v>
      </c>
      <c r="I152" s="492">
        <f t="shared" si="27"/>
        <v>1</v>
      </c>
      <c r="J152" s="505"/>
      <c r="N152" s="474">
        <f t="shared" si="28"/>
        <v>0</v>
      </c>
      <c r="O152" s="474">
        <f t="shared" si="26"/>
        <v>114813.02767937923</v>
      </c>
      <c r="P152" s="474">
        <f t="shared" ref="P152:P154" si="31">IF($F$1="No",0,G152/SUM($G$23:$G$154)*($L$18-$I$18)*(SUMIF($K$21:$K$31,ROUNDUP(C152/12,0),$T$21:$T$32)))</f>
        <v>0</v>
      </c>
      <c r="Q152" s="474">
        <f>SUM(O152,P143:P152)</f>
        <v>114813.02767937923</v>
      </c>
      <c r="R152" s="506"/>
    </row>
    <row r="153" spans="2:18" ht="14.1" customHeight="1" thickBot="1" x14ac:dyDescent="0.25">
      <c r="B153" s="493">
        <f>EOMONTH(B152,1)</f>
        <v>49278</v>
      </c>
      <c r="C153" s="469">
        <f>C152+1</f>
        <v>131</v>
      </c>
      <c r="D153" s="494">
        <f t="shared" si="29"/>
        <v>78</v>
      </c>
      <c r="E153" s="490">
        <v>0</v>
      </c>
      <c r="F153" s="491">
        <f t="shared" ref="F153:F154" si="32">E152+F152</f>
        <v>78</v>
      </c>
      <c r="G153" s="490">
        <v>0</v>
      </c>
      <c r="H153" s="491">
        <f t="shared" si="30"/>
        <v>78</v>
      </c>
      <c r="I153" s="492">
        <f t="shared" si="27"/>
        <v>1</v>
      </c>
      <c r="J153" s="505"/>
      <c r="N153" s="474">
        <f t="shared" si="28"/>
        <v>0</v>
      </c>
      <c r="O153" s="474">
        <f t="shared" ref="O153:O154" si="33">IF($C153=1,$I$18,O152)*(1+(RATE(12,,-1,1+SUMIF($K$21:$K$31,ROUNDUP($C153/12,0),$L$21:$L$31))))</f>
        <v>115096.18757901815</v>
      </c>
      <c r="P153" s="474">
        <f t="shared" si="31"/>
        <v>0</v>
      </c>
      <c r="Q153" s="474">
        <f>SUM(O153,P143:P153)</f>
        <v>115096.18757901815</v>
      </c>
      <c r="R153" s="506"/>
    </row>
    <row r="154" spans="2:18" ht="14.1" customHeight="1" thickBot="1" x14ac:dyDescent="0.25">
      <c r="B154" s="493">
        <f>EOMONTH(B153,1)</f>
        <v>49309</v>
      </c>
      <c r="C154" s="469">
        <f>C153+1</f>
        <v>132</v>
      </c>
      <c r="D154" s="494">
        <f t="shared" si="29"/>
        <v>78</v>
      </c>
      <c r="E154" s="490">
        <v>0</v>
      </c>
      <c r="F154" s="491">
        <f t="shared" si="32"/>
        <v>78</v>
      </c>
      <c r="G154" s="490">
        <v>0</v>
      </c>
      <c r="H154" s="491">
        <f t="shared" si="30"/>
        <v>78</v>
      </c>
      <c r="I154" s="492">
        <f t="shared" si="27"/>
        <v>1</v>
      </c>
      <c r="J154" s="498">
        <f>IF($F$1="No",1,AVERAGE(I143:I154))</f>
        <v>1</v>
      </c>
      <c r="K154" s="499" t="s">
        <v>337</v>
      </c>
      <c r="L154" s="500"/>
      <c r="N154" s="474">
        <f t="shared" si="28"/>
        <v>0</v>
      </c>
      <c r="O154" s="474">
        <f t="shared" si="33"/>
        <v>115380.04582735829</v>
      </c>
      <c r="P154" s="474">
        <f t="shared" si="31"/>
        <v>0</v>
      </c>
      <c r="Q154" s="474">
        <f>SUM(O154,P143:P154)</f>
        <v>115380.04582735829</v>
      </c>
      <c r="R154" s="507">
        <f>Q154/Q142-1</f>
        <v>3.0000000000710125E-2</v>
      </c>
    </row>
    <row r="155" spans="2:18" ht="14.1" customHeight="1" x14ac:dyDescent="0.2">
      <c r="B155" s="493"/>
      <c r="C155" s="469"/>
      <c r="G155" s="508"/>
      <c r="H155" s="469"/>
      <c r="O155" s="476"/>
      <c r="P155" s="476"/>
      <c r="Q155" s="509"/>
    </row>
    <row r="156" spans="2:18" ht="14.1" customHeight="1" x14ac:dyDescent="0.2"/>
    <row r="157" spans="2:18" ht="14.1" customHeight="1" x14ac:dyDescent="0.2">
      <c r="E157" s="526"/>
      <c r="K157" s="469" t="s">
        <v>338</v>
      </c>
      <c r="L157" s="469" t="s">
        <v>306</v>
      </c>
      <c r="O157" s="476"/>
      <c r="P157" s="469" t="s">
        <v>97</v>
      </c>
    </row>
    <row r="158" spans="2:18" ht="14.1" customHeight="1" x14ac:dyDescent="0.2">
      <c r="C158" s="510">
        <f>SUMIF($E$5:$E$17,$E158,C$5:C$17)</f>
        <v>9</v>
      </c>
      <c r="D158" s="511" t="s">
        <v>298</v>
      </c>
      <c r="E158" s="455">
        <v>1</v>
      </c>
      <c r="F158" s="512" t="s">
        <v>339</v>
      </c>
      <c r="G158" s="513"/>
      <c r="H158" s="514"/>
      <c r="I158" s="515"/>
      <c r="J158" s="514"/>
      <c r="K158" s="516">
        <f>SUMIF($E$5:$E$17,E158,L$5:L$17)</f>
        <v>8640</v>
      </c>
      <c r="L158" s="517">
        <f>IFERROR(K158/P158,"N/A")</f>
        <v>3.3333333333333335</v>
      </c>
      <c r="M158" s="518"/>
      <c r="N158" s="514"/>
      <c r="O158" s="512"/>
      <c r="P158" s="516">
        <f>SUMIF($E$5:$E$17,E158,Q$5:Q$17)</f>
        <v>2592</v>
      </c>
    </row>
    <row r="159" spans="2:18" ht="14.1" customHeight="1" x14ac:dyDescent="0.2">
      <c r="C159" s="467">
        <f t="shared" ref="C159:C161" si="34">SUMIF($E$5:$E$17,$E159,C$5:C$17)</f>
        <v>53</v>
      </c>
      <c r="D159" s="519" t="s">
        <v>298</v>
      </c>
      <c r="E159" s="455">
        <v>2</v>
      </c>
      <c r="F159" s="455" t="s">
        <v>339</v>
      </c>
      <c r="G159" s="520"/>
      <c r="H159" s="509"/>
      <c r="I159" s="521"/>
      <c r="J159" s="509"/>
      <c r="K159" s="474">
        <f t="shared" ref="K159:K161" si="35">SUMIF($E$5:$E$17,E159,L$5:L$17)</f>
        <v>54749</v>
      </c>
      <c r="L159" s="522">
        <f>IFERROR(K159/P159,"N/A")</f>
        <v>1.7934027777777777</v>
      </c>
      <c r="M159" s="523"/>
      <c r="N159" s="509"/>
      <c r="P159" s="474">
        <f t="shared" ref="P159:P161" si="36">SUMIF($E$5:$E$17,E159,Q$5:Q$17)</f>
        <v>30528</v>
      </c>
    </row>
    <row r="160" spans="2:18" ht="14.1" customHeight="1" x14ac:dyDescent="0.2">
      <c r="C160" s="467">
        <f t="shared" si="34"/>
        <v>12</v>
      </c>
      <c r="D160" s="519" t="s">
        <v>298</v>
      </c>
      <c r="E160" s="455">
        <v>3</v>
      </c>
      <c r="F160" s="455" t="s">
        <v>339</v>
      </c>
      <c r="G160" s="520"/>
      <c r="H160" s="509"/>
      <c r="I160" s="521"/>
      <c r="J160" s="509"/>
      <c r="K160" s="474">
        <f t="shared" si="35"/>
        <v>14652</v>
      </c>
      <c r="L160" s="522">
        <f>IFERROR(K160/P160,"N/A")</f>
        <v>1.4131944444444444</v>
      </c>
      <c r="M160" s="523"/>
      <c r="N160" s="509"/>
      <c r="P160" s="474">
        <f t="shared" si="36"/>
        <v>10368</v>
      </c>
    </row>
    <row r="161" spans="3:16" ht="14.1" customHeight="1" x14ac:dyDescent="0.2">
      <c r="C161" s="524">
        <f t="shared" si="34"/>
        <v>0</v>
      </c>
      <c r="D161" s="525"/>
      <c r="E161" s="526"/>
      <c r="F161" s="526"/>
      <c r="G161" s="527"/>
      <c r="H161" s="528"/>
      <c r="I161" s="529"/>
      <c r="J161" s="528"/>
      <c r="K161" s="530">
        <f t="shared" si="35"/>
        <v>0</v>
      </c>
      <c r="L161" s="531" t="str">
        <f>IFERROR(K161/P161,"N/A")</f>
        <v>N/A</v>
      </c>
      <c r="M161" s="532"/>
      <c r="N161" s="528"/>
      <c r="O161" s="526"/>
      <c r="P161" s="530">
        <f t="shared" si="36"/>
        <v>0</v>
      </c>
    </row>
    <row r="162" spans="3:16" ht="14.1" customHeight="1" x14ac:dyDescent="0.2">
      <c r="C162" s="467">
        <f>C18</f>
        <v>78</v>
      </c>
      <c r="D162" s="468"/>
      <c r="G162" s="520"/>
      <c r="H162" s="509"/>
      <c r="I162" s="521"/>
      <c r="J162" s="509"/>
      <c r="K162" s="474">
        <f>L18</f>
        <v>83353</v>
      </c>
      <c r="L162" s="522">
        <f>IFERROR(K162/P162,"N/A")</f>
        <v>1.7755836741649624</v>
      </c>
      <c r="M162" s="523"/>
      <c r="N162" s="509"/>
      <c r="P162" s="474">
        <f>Q18</f>
        <v>46944</v>
      </c>
    </row>
    <row r="163" spans="3:16" ht="14.1" customHeight="1" x14ac:dyDescent="0.2"/>
    <row r="164" spans="3:16" ht="14.1" customHeight="1" x14ac:dyDescent="0.2"/>
    <row r="165" spans="3:16" ht="14.1" customHeight="1" x14ac:dyDescent="0.2"/>
    <row r="166" spans="3:16" ht="14.1" customHeight="1" x14ac:dyDescent="0.2"/>
    <row r="167" spans="3:16" ht="14.1" customHeight="1" x14ac:dyDescent="0.2"/>
    <row r="168" spans="3:16" ht="14.1" customHeight="1" x14ac:dyDescent="0.2"/>
    <row r="169" spans="3:16" ht="14.1" customHeight="1" x14ac:dyDescent="0.2"/>
    <row r="170" spans="3:16" ht="14.1" customHeight="1" x14ac:dyDescent="0.2"/>
    <row r="171" spans="3:16" ht="14.1" customHeight="1" x14ac:dyDescent="0.2"/>
    <row r="172" spans="3:16" ht="14.1" customHeight="1" x14ac:dyDescent="0.2"/>
    <row r="173" spans="3:16" ht="14.1" customHeight="1" x14ac:dyDescent="0.2"/>
    <row r="174" spans="3:16" ht="14.1" customHeight="1" x14ac:dyDescent="0.2"/>
    <row r="175" spans="3:16" ht="14.1" customHeight="1" x14ac:dyDescent="0.2"/>
    <row r="176" spans="3:1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</sheetData>
  <dataValidations count="1">
    <dataValidation type="list" allowBlank="1" showInputMessage="1" showErrorMessage="1" sqref="F1" xr:uid="{E98B1045-67D9-43B1-A4D5-BD7125B5A54D}">
      <formula1>"Yes, No"</formula1>
    </dataValidation>
  </dataValidations>
  <printOptions horizontalCentered="1"/>
  <pageMargins left="0.4" right="0.4" top="0.4" bottom="0.4" header="0.5" footer="0.5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6C63-222E-4F0F-8630-498779F60F22}">
  <sheetPr>
    <tabColor theme="1" tint="0.34998626667073579"/>
  </sheetPr>
  <dimension ref="A1"/>
  <sheetViews>
    <sheetView showGridLines="0" zoomScale="80" zoomScaleNormal="80" workbookViewId="0">
      <selection activeCell="K47" sqref="K47"/>
    </sheetView>
  </sheetViews>
  <sheetFormatPr defaultColWidth="8.85546875" defaultRowHeight="12.75" x14ac:dyDescent="0.2"/>
  <cols>
    <col min="1" max="16384" width="8.85546875" style="343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0D39-DD0A-44A0-8A93-15FD9B668C3A}">
  <sheetPr>
    <tabColor theme="1" tint="0.34998626667073579"/>
    <pageSetUpPr fitToPage="1"/>
  </sheetPr>
  <dimension ref="A1:AI229"/>
  <sheetViews>
    <sheetView showGridLines="0" topLeftCell="A16" zoomScaleNormal="100" workbookViewId="0">
      <selection activeCell="M62" sqref="M62"/>
    </sheetView>
  </sheetViews>
  <sheetFormatPr defaultColWidth="9.140625" defaultRowHeight="11.25" customHeight="1" x14ac:dyDescent="0.25"/>
  <cols>
    <col min="1" max="2" width="2.85546875" style="573" customWidth="1"/>
    <col min="3" max="3" width="18.42578125" style="573" customWidth="1"/>
    <col min="4" max="15" width="8.85546875" style="573" customWidth="1"/>
    <col min="16" max="16" width="1.42578125" style="573" customWidth="1"/>
    <col min="17" max="17" width="9.85546875" style="573" bestFit="1" customWidth="1"/>
    <col min="18" max="18" width="2.28515625" style="574" customWidth="1"/>
    <col min="19" max="19" width="2.85546875" style="573" bestFit="1" customWidth="1"/>
    <col min="20" max="20" width="24.140625" style="701" bestFit="1" customWidth="1"/>
    <col min="21" max="21" width="9.85546875" style="701" bestFit="1" customWidth="1"/>
    <col min="22" max="33" width="8.7109375" style="701" customWidth="1"/>
    <col min="34" max="34" width="25.85546875" style="701" bestFit="1" customWidth="1"/>
    <col min="35" max="16384" width="9.140625" style="573"/>
  </cols>
  <sheetData>
    <row r="1" spans="1:35" ht="11.25" customHeight="1" x14ac:dyDescent="0.25">
      <c r="A1" s="595"/>
      <c r="B1" s="595"/>
      <c r="C1" s="631" t="s">
        <v>361</v>
      </c>
      <c r="D1" s="718">
        <v>44866</v>
      </c>
      <c r="E1" s="630"/>
      <c r="F1" s="630"/>
      <c r="G1" s="630"/>
      <c r="H1" s="630"/>
      <c r="I1" s="630"/>
      <c r="J1" s="630"/>
      <c r="K1" s="630"/>
      <c r="L1" s="628"/>
      <c r="M1" s="628"/>
      <c r="N1" s="628"/>
      <c r="O1" s="628"/>
      <c r="P1" s="629"/>
      <c r="Q1" s="628"/>
      <c r="R1" s="627"/>
      <c r="S1" s="715" t="s">
        <v>354</v>
      </c>
      <c r="T1" s="698"/>
      <c r="U1" s="713" t="s">
        <v>341</v>
      </c>
      <c r="V1" s="712" t="s">
        <v>342</v>
      </c>
      <c r="W1" s="712" t="s">
        <v>343</v>
      </c>
      <c r="X1" s="712" t="s">
        <v>344</v>
      </c>
      <c r="Y1" s="712" t="s">
        <v>345</v>
      </c>
      <c r="Z1" s="712" t="s">
        <v>346</v>
      </c>
      <c r="AA1" s="712" t="s">
        <v>347</v>
      </c>
      <c r="AB1" s="712" t="s">
        <v>348</v>
      </c>
      <c r="AC1" s="712" t="s">
        <v>349</v>
      </c>
      <c r="AD1" s="712" t="s">
        <v>350</v>
      </c>
      <c r="AE1" s="712" t="s">
        <v>351</v>
      </c>
      <c r="AF1" s="712" t="s">
        <v>352</v>
      </c>
      <c r="AG1" s="712" t="s">
        <v>353</v>
      </c>
    </row>
    <row r="2" spans="1:35" ht="11.25" customHeight="1" x14ac:dyDescent="0.2">
      <c r="A2" s="623"/>
      <c r="B2" s="623"/>
      <c r="C2" s="623"/>
      <c r="D2" s="626"/>
      <c r="E2" s="623"/>
      <c r="F2" s="624"/>
      <c r="G2" s="624"/>
      <c r="H2" s="624"/>
      <c r="I2" s="624"/>
      <c r="J2" s="624"/>
      <c r="K2" s="625"/>
      <c r="L2" s="625"/>
      <c r="M2" s="625"/>
      <c r="N2" s="625"/>
      <c r="O2" s="625"/>
      <c r="P2" s="625"/>
      <c r="Q2" s="625"/>
      <c r="R2" s="624"/>
      <c r="S2" s="715" t="s">
        <v>354</v>
      </c>
      <c r="T2" s="702"/>
      <c r="U2" s="714"/>
      <c r="V2" s="699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G2" s="700"/>
      <c r="AH2" s="703"/>
    </row>
    <row r="3" spans="1:35" ht="11.25" customHeight="1" x14ac:dyDescent="0.25">
      <c r="A3" s="20" t="s">
        <v>178</v>
      </c>
      <c r="B3" s="21"/>
      <c r="C3" s="21"/>
      <c r="D3" s="21"/>
      <c r="E3" s="21"/>
      <c r="F3" s="21"/>
      <c r="G3" s="21"/>
      <c r="H3" s="21"/>
      <c r="I3" s="21"/>
      <c r="J3" s="21"/>
      <c r="K3" s="22"/>
      <c r="L3" s="717"/>
      <c r="M3" s="717"/>
      <c r="N3" s="717"/>
      <c r="O3" s="717"/>
      <c r="P3" s="717"/>
      <c r="Q3" s="717"/>
      <c r="R3" s="576"/>
      <c r="S3" s="715" t="s">
        <v>354</v>
      </c>
      <c r="T3" s="702"/>
      <c r="U3" s="714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</row>
    <row r="4" spans="1:35" ht="11.25" customHeight="1" x14ac:dyDescent="0.25">
      <c r="A4" s="622"/>
      <c r="B4" s="622"/>
      <c r="C4" s="621" t="s">
        <v>175</v>
      </c>
      <c r="D4" s="620">
        <f>EDATE(D1, 0)</f>
        <v>44866</v>
      </c>
      <c r="E4" s="620">
        <f t="shared" ref="E4:O4" si="0">EOMONTH(D4,1)</f>
        <v>44926</v>
      </c>
      <c r="F4" s="620">
        <f t="shared" si="0"/>
        <v>44957</v>
      </c>
      <c r="G4" s="620">
        <f t="shared" si="0"/>
        <v>44985</v>
      </c>
      <c r="H4" s="620">
        <f t="shared" si="0"/>
        <v>45016</v>
      </c>
      <c r="I4" s="620">
        <f t="shared" si="0"/>
        <v>45046</v>
      </c>
      <c r="J4" s="620">
        <f t="shared" si="0"/>
        <v>45077</v>
      </c>
      <c r="K4" s="620">
        <f t="shared" si="0"/>
        <v>45107</v>
      </c>
      <c r="L4" s="620">
        <f t="shared" si="0"/>
        <v>45138</v>
      </c>
      <c r="M4" s="620">
        <f t="shared" si="0"/>
        <v>45169</v>
      </c>
      <c r="N4" s="620">
        <f t="shared" si="0"/>
        <v>45199</v>
      </c>
      <c r="O4" s="620">
        <f t="shared" si="0"/>
        <v>45230</v>
      </c>
      <c r="P4" s="619"/>
      <c r="Q4" s="812" t="s">
        <v>230</v>
      </c>
      <c r="R4" s="576"/>
      <c r="S4" s="715" t="s">
        <v>354</v>
      </c>
      <c r="T4" s="704"/>
      <c r="U4" s="716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</row>
    <row r="5" spans="1:35" ht="11.25" customHeight="1" x14ac:dyDescent="0.25">
      <c r="A5" s="618"/>
      <c r="B5" s="618"/>
      <c r="C5" s="617" t="s">
        <v>229</v>
      </c>
      <c r="D5" s="616">
        <f t="shared" ref="D5:O5" si="1">YEAR(D4)</f>
        <v>2022</v>
      </c>
      <c r="E5" s="616">
        <f t="shared" si="1"/>
        <v>2022</v>
      </c>
      <c r="F5" s="616">
        <f t="shared" si="1"/>
        <v>2023</v>
      </c>
      <c r="G5" s="616">
        <f t="shared" si="1"/>
        <v>2023</v>
      </c>
      <c r="H5" s="616">
        <f t="shared" si="1"/>
        <v>2023</v>
      </c>
      <c r="I5" s="616">
        <f t="shared" si="1"/>
        <v>2023</v>
      </c>
      <c r="J5" s="616">
        <f t="shared" si="1"/>
        <v>2023</v>
      </c>
      <c r="K5" s="616">
        <f t="shared" si="1"/>
        <v>2023</v>
      </c>
      <c r="L5" s="616">
        <f t="shared" si="1"/>
        <v>2023</v>
      </c>
      <c r="M5" s="616">
        <f t="shared" si="1"/>
        <v>2023</v>
      </c>
      <c r="N5" s="616">
        <f t="shared" si="1"/>
        <v>2023</v>
      </c>
      <c r="O5" s="616">
        <f t="shared" si="1"/>
        <v>2023</v>
      </c>
      <c r="P5" s="615"/>
      <c r="Q5" s="813"/>
      <c r="R5" s="576"/>
      <c r="S5" s="715" t="s">
        <v>354</v>
      </c>
      <c r="T5" s="721"/>
      <c r="U5" s="722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</row>
    <row r="6" spans="1:35" ht="11.25" customHeight="1" x14ac:dyDescent="0.2">
      <c r="A6" s="575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6"/>
      <c r="S6" s="575"/>
      <c r="T6" s="756" t="s">
        <v>367</v>
      </c>
      <c r="U6" s="757">
        <v>44895</v>
      </c>
      <c r="V6" s="757">
        <v>44926</v>
      </c>
      <c r="W6" s="757">
        <v>44957</v>
      </c>
      <c r="X6" s="757">
        <v>44985</v>
      </c>
      <c r="Y6" s="757">
        <v>45016</v>
      </c>
      <c r="Z6" s="757">
        <v>45046</v>
      </c>
      <c r="AA6" s="757">
        <v>45077</v>
      </c>
      <c r="AB6" s="757">
        <v>45107</v>
      </c>
      <c r="AC6" s="757">
        <v>45138</v>
      </c>
      <c r="AD6" s="757">
        <v>45169</v>
      </c>
      <c r="AE6" s="757">
        <v>45199</v>
      </c>
      <c r="AF6" s="757">
        <v>45230</v>
      </c>
      <c r="AG6" s="758" t="s">
        <v>368</v>
      </c>
      <c r="AH6" s="706"/>
    </row>
    <row r="7" spans="1:35" ht="11.25" customHeight="1" x14ac:dyDescent="0.25">
      <c r="A7" s="599">
        <v>1</v>
      </c>
      <c r="B7" s="609" t="s">
        <v>228</v>
      </c>
      <c r="C7" s="608"/>
      <c r="D7" s="608">
        <f t="shared" ref="D7:O8" si="2">SUMIF($S$6:$S$200,$A7,U$6:U$200)</f>
        <v>67532</v>
      </c>
      <c r="E7" s="608">
        <f t="shared" si="2"/>
        <v>68792</v>
      </c>
      <c r="F7" s="608">
        <f t="shared" si="2"/>
        <v>68010.039999999994</v>
      </c>
      <c r="G7" s="608">
        <f t="shared" si="2"/>
        <v>71607</v>
      </c>
      <c r="H7" s="608">
        <f t="shared" si="2"/>
        <v>68722</v>
      </c>
      <c r="I7" s="608">
        <f t="shared" si="2"/>
        <v>71302</v>
      </c>
      <c r="J7" s="608">
        <f t="shared" si="2"/>
        <v>72437</v>
      </c>
      <c r="K7" s="608">
        <f t="shared" si="2"/>
        <v>71992</v>
      </c>
      <c r="L7" s="608">
        <f t="shared" si="2"/>
        <v>75222</v>
      </c>
      <c r="M7" s="608">
        <f t="shared" si="2"/>
        <v>74887</v>
      </c>
      <c r="N7" s="608">
        <f t="shared" si="2"/>
        <v>76292</v>
      </c>
      <c r="O7" s="608">
        <f t="shared" si="2"/>
        <v>76372</v>
      </c>
      <c r="P7" s="594"/>
      <c r="Q7" s="607">
        <f t="shared" ref="Q7:Q14" si="3">SUM(D7:O7)</f>
        <v>863167.04</v>
      </c>
      <c r="R7" s="614"/>
      <c r="S7" s="575"/>
      <c r="T7" s="758" t="s">
        <v>369</v>
      </c>
      <c r="U7"/>
      <c r="V7"/>
      <c r="W7"/>
      <c r="X7"/>
      <c r="Y7"/>
      <c r="Z7"/>
      <c r="AA7"/>
      <c r="AB7"/>
      <c r="AC7"/>
      <c r="AD7"/>
      <c r="AE7"/>
      <c r="AF7"/>
      <c r="AG7"/>
    </row>
    <row r="8" spans="1:35" ht="11.25" customHeight="1" x14ac:dyDescent="0.35">
      <c r="A8" s="575">
        <v>2</v>
      </c>
      <c r="B8" s="575"/>
      <c r="C8" s="603" t="s">
        <v>213</v>
      </c>
      <c r="D8" s="603">
        <f t="shared" si="2"/>
        <v>4080.97</v>
      </c>
      <c r="E8" s="603">
        <f t="shared" si="2"/>
        <v>3245.12</v>
      </c>
      <c r="F8" s="603">
        <f t="shared" si="2"/>
        <v>3713.32</v>
      </c>
      <c r="G8" s="603">
        <f t="shared" si="2"/>
        <v>724.64</v>
      </c>
      <c r="H8" s="603">
        <f t="shared" si="2"/>
        <v>3814.32</v>
      </c>
      <c r="I8" s="603">
        <f t="shared" si="2"/>
        <v>1196.0999999999999</v>
      </c>
      <c r="J8" s="603">
        <f t="shared" si="2"/>
        <v>220.81</v>
      </c>
      <c r="K8" s="603">
        <f t="shared" si="2"/>
        <v>1183.0999999999999</v>
      </c>
      <c r="L8" s="603">
        <f t="shared" si="2"/>
        <v>-1512.75</v>
      </c>
      <c r="M8" s="603">
        <f t="shared" si="2"/>
        <v>-930.23</v>
      </c>
      <c r="N8" s="603">
        <f t="shared" si="2"/>
        <v>-1120.94</v>
      </c>
      <c r="O8" s="603">
        <f t="shared" si="2"/>
        <v>-661.78</v>
      </c>
      <c r="P8" s="602"/>
      <c r="Q8" s="601">
        <f t="shared" si="3"/>
        <v>13952.679999999997</v>
      </c>
      <c r="R8" s="576"/>
      <c r="S8" s="575"/>
      <c r="T8" s="758" t="s">
        <v>370</v>
      </c>
      <c r="U8"/>
      <c r="V8"/>
      <c r="W8"/>
      <c r="X8"/>
      <c r="Y8"/>
      <c r="Z8"/>
      <c r="AA8"/>
      <c r="AB8"/>
      <c r="AC8"/>
      <c r="AD8"/>
      <c r="AE8"/>
      <c r="AF8"/>
      <c r="AG8"/>
    </row>
    <row r="9" spans="1:35" ht="11.25" customHeight="1" x14ac:dyDescent="0.25">
      <c r="A9" s="599"/>
      <c r="B9" s="609" t="s">
        <v>168</v>
      </c>
      <c r="C9" s="610"/>
      <c r="D9" s="610">
        <f t="shared" ref="D9:O9" si="4">SUM(D7:D8)</f>
        <v>71612.97</v>
      </c>
      <c r="E9" s="610">
        <f t="shared" si="4"/>
        <v>72037.119999999995</v>
      </c>
      <c r="F9" s="610">
        <f t="shared" si="4"/>
        <v>71723.360000000001</v>
      </c>
      <c r="G9" s="610">
        <f t="shared" si="4"/>
        <v>72331.64</v>
      </c>
      <c r="H9" s="610">
        <f t="shared" si="4"/>
        <v>72536.320000000007</v>
      </c>
      <c r="I9" s="610">
        <f t="shared" si="4"/>
        <v>72498.100000000006</v>
      </c>
      <c r="J9" s="610">
        <f t="shared" si="4"/>
        <v>72657.81</v>
      </c>
      <c r="K9" s="610">
        <f t="shared" si="4"/>
        <v>73175.100000000006</v>
      </c>
      <c r="L9" s="610">
        <f t="shared" si="4"/>
        <v>73709.25</v>
      </c>
      <c r="M9" s="610">
        <f t="shared" si="4"/>
        <v>73956.77</v>
      </c>
      <c r="N9" s="610">
        <f t="shared" si="4"/>
        <v>75171.06</v>
      </c>
      <c r="O9" s="610">
        <f t="shared" si="4"/>
        <v>75710.22</v>
      </c>
      <c r="P9" s="605"/>
      <c r="Q9" s="605">
        <f t="shared" si="3"/>
        <v>877119.72</v>
      </c>
      <c r="R9" s="576"/>
      <c r="S9" s="575">
        <v>1</v>
      </c>
      <c r="T9" s="756" t="s">
        <v>371</v>
      </c>
      <c r="U9" s="759">
        <v>67532</v>
      </c>
      <c r="V9" s="759">
        <v>68792</v>
      </c>
      <c r="W9" s="759">
        <v>68010.039999999994</v>
      </c>
      <c r="X9" s="759">
        <v>71607</v>
      </c>
      <c r="Y9" s="759">
        <v>68722</v>
      </c>
      <c r="Z9" s="759">
        <v>71302</v>
      </c>
      <c r="AA9" s="759">
        <v>72437</v>
      </c>
      <c r="AB9" s="759">
        <v>71992</v>
      </c>
      <c r="AC9" s="759">
        <v>75222</v>
      </c>
      <c r="AD9" s="759">
        <v>74887</v>
      </c>
      <c r="AE9" s="759">
        <v>76292</v>
      </c>
      <c r="AF9" s="759">
        <v>76372</v>
      </c>
      <c r="AG9" s="760">
        <v>863167.04</v>
      </c>
    </row>
    <row r="10" spans="1:35" ht="11.25" customHeight="1" x14ac:dyDescent="0.25">
      <c r="A10" s="575">
        <v>3</v>
      </c>
      <c r="B10" s="575"/>
      <c r="C10" s="606" t="s">
        <v>169</v>
      </c>
      <c r="D10" s="606">
        <f t="shared" ref="D10:O13" si="5">SUMIF($S$6:$S$200,$A10,U$6:U$200)</f>
        <v>-3405.01</v>
      </c>
      <c r="E10" s="606">
        <f t="shared" si="5"/>
        <v>-3375.54</v>
      </c>
      <c r="F10" s="606">
        <f t="shared" si="5"/>
        <v>-4269.67</v>
      </c>
      <c r="G10" s="606">
        <f t="shared" si="5"/>
        <v>-871.4</v>
      </c>
      <c r="H10" s="606">
        <f t="shared" si="5"/>
        <v>-1644.68</v>
      </c>
      <c r="I10" s="606">
        <f t="shared" si="5"/>
        <v>-2289.33</v>
      </c>
      <c r="J10" s="606">
        <f t="shared" si="5"/>
        <v>-1515.01</v>
      </c>
      <c r="K10" s="606">
        <f t="shared" si="5"/>
        <v>-855.67</v>
      </c>
      <c r="L10" s="606">
        <f t="shared" si="5"/>
        <v>-485.3</v>
      </c>
      <c r="M10" s="606">
        <f t="shared" si="5"/>
        <v>-365.32</v>
      </c>
      <c r="N10" s="606">
        <f t="shared" si="5"/>
        <v>-1577</v>
      </c>
      <c r="O10" s="606">
        <f t="shared" si="5"/>
        <v>-1669.61</v>
      </c>
      <c r="P10" s="605"/>
      <c r="Q10" s="604">
        <f t="shared" si="3"/>
        <v>-22323.539999999997</v>
      </c>
      <c r="R10" s="613"/>
      <c r="S10" s="575">
        <v>2</v>
      </c>
      <c r="T10" s="756" t="s">
        <v>372</v>
      </c>
      <c r="U10" s="759">
        <v>4080.97</v>
      </c>
      <c r="V10" s="759">
        <v>3245.12</v>
      </c>
      <c r="W10" s="759">
        <v>3713.32</v>
      </c>
      <c r="X10" s="759">
        <v>724.64</v>
      </c>
      <c r="Y10" s="759">
        <v>3814.32</v>
      </c>
      <c r="Z10" s="759">
        <v>1196.0999999999999</v>
      </c>
      <c r="AA10" s="759">
        <v>220.81</v>
      </c>
      <c r="AB10" s="759">
        <v>1183.0999999999999</v>
      </c>
      <c r="AC10" s="759">
        <v>-1512.75</v>
      </c>
      <c r="AD10" s="759">
        <v>-930.23</v>
      </c>
      <c r="AE10" s="759">
        <v>-1120.94</v>
      </c>
      <c r="AF10" s="759">
        <v>-661.78</v>
      </c>
      <c r="AG10" s="760">
        <v>13952.68</v>
      </c>
    </row>
    <row r="11" spans="1:35" ht="11.25" customHeight="1" x14ac:dyDescent="0.25">
      <c r="A11" s="575">
        <v>4</v>
      </c>
      <c r="B11" s="575"/>
      <c r="C11" s="606" t="s">
        <v>170</v>
      </c>
      <c r="D11" s="606">
        <f t="shared" si="5"/>
        <v>-1144</v>
      </c>
      <c r="E11" s="606">
        <f t="shared" si="5"/>
        <v>-1144</v>
      </c>
      <c r="F11" s="606">
        <f t="shared" si="5"/>
        <v>-3033.42</v>
      </c>
      <c r="G11" s="606">
        <f t="shared" si="5"/>
        <v>-694.57</v>
      </c>
      <c r="H11" s="606">
        <f t="shared" si="5"/>
        <v>-2414.6999999999998</v>
      </c>
      <c r="I11" s="606">
        <f t="shared" si="5"/>
        <v>-919.17</v>
      </c>
      <c r="J11" s="606">
        <f t="shared" si="5"/>
        <v>921.7</v>
      </c>
      <c r="K11" s="606">
        <f t="shared" si="5"/>
        <v>0</v>
      </c>
      <c r="L11" s="606">
        <f t="shared" si="5"/>
        <v>-2900</v>
      </c>
      <c r="M11" s="606">
        <f t="shared" si="5"/>
        <v>-38.5</v>
      </c>
      <c r="N11" s="606">
        <f t="shared" si="5"/>
        <v>-3306</v>
      </c>
      <c r="O11" s="606">
        <f t="shared" si="5"/>
        <v>-945</v>
      </c>
      <c r="P11" s="605"/>
      <c r="Q11" s="604">
        <f t="shared" si="3"/>
        <v>-15617.659999999998</v>
      </c>
      <c r="R11" s="613"/>
      <c r="S11" s="575">
        <v>3</v>
      </c>
      <c r="T11" s="756" t="s">
        <v>373</v>
      </c>
      <c r="U11" s="759">
        <v>-3405.01</v>
      </c>
      <c r="V11" s="759">
        <v>-3375.54</v>
      </c>
      <c r="W11" s="759">
        <v>-4269.67</v>
      </c>
      <c r="X11" s="759">
        <v>-871.4</v>
      </c>
      <c r="Y11" s="759">
        <v>-1644.68</v>
      </c>
      <c r="Z11" s="759">
        <v>-2289.33</v>
      </c>
      <c r="AA11" s="759">
        <v>-1515.01</v>
      </c>
      <c r="AB11" s="759">
        <v>-855.67</v>
      </c>
      <c r="AC11" s="759">
        <v>-485.3</v>
      </c>
      <c r="AD11" s="759">
        <v>-365.32</v>
      </c>
      <c r="AE11" s="759">
        <v>-1577</v>
      </c>
      <c r="AF11" s="759">
        <v>-1669.61</v>
      </c>
      <c r="AG11" s="760">
        <v>-22323.54</v>
      </c>
    </row>
    <row r="12" spans="1:35" ht="11.25" customHeight="1" x14ac:dyDescent="0.25">
      <c r="A12" s="575">
        <v>5</v>
      </c>
      <c r="B12" s="575"/>
      <c r="C12" s="606" t="s">
        <v>227</v>
      </c>
      <c r="D12" s="606">
        <f t="shared" si="5"/>
        <v>-690</v>
      </c>
      <c r="E12" s="606">
        <f t="shared" si="5"/>
        <v>-690</v>
      </c>
      <c r="F12" s="606">
        <f t="shared" si="5"/>
        <v>-690</v>
      </c>
      <c r="G12" s="606">
        <f t="shared" si="5"/>
        <v>-690</v>
      </c>
      <c r="H12" s="606">
        <f t="shared" si="5"/>
        <v>-690</v>
      </c>
      <c r="I12" s="606">
        <f t="shared" si="5"/>
        <v>-690</v>
      </c>
      <c r="J12" s="606">
        <f t="shared" si="5"/>
        <v>-690</v>
      </c>
      <c r="K12" s="606">
        <f t="shared" si="5"/>
        <v>-690</v>
      </c>
      <c r="L12" s="606">
        <f t="shared" si="5"/>
        <v>-690</v>
      </c>
      <c r="M12" s="606">
        <f t="shared" si="5"/>
        <v>-690</v>
      </c>
      <c r="N12" s="606">
        <f t="shared" si="5"/>
        <v>-690</v>
      </c>
      <c r="O12" s="606">
        <f t="shared" si="5"/>
        <v>-690</v>
      </c>
      <c r="P12" s="605"/>
      <c r="Q12" s="604">
        <f t="shared" si="3"/>
        <v>-8280</v>
      </c>
      <c r="R12" s="613"/>
      <c r="S12" s="575">
        <v>5</v>
      </c>
      <c r="T12" s="756" t="s">
        <v>374</v>
      </c>
      <c r="U12" s="761">
        <v>-690</v>
      </c>
      <c r="V12" s="761">
        <v>-690</v>
      </c>
      <c r="W12" s="761">
        <v>-690</v>
      </c>
      <c r="X12" s="761">
        <v>-690</v>
      </c>
      <c r="Y12" s="761">
        <v>-690</v>
      </c>
      <c r="Z12" s="761">
        <v>-690</v>
      </c>
      <c r="AA12" s="761">
        <v>-690</v>
      </c>
      <c r="AB12" s="761">
        <v>-690</v>
      </c>
      <c r="AC12" s="761">
        <v>-690</v>
      </c>
      <c r="AD12" s="761">
        <v>-690</v>
      </c>
      <c r="AE12" s="761">
        <v>-690</v>
      </c>
      <c r="AF12" s="761">
        <v>-690</v>
      </c>
      <c r="AG12" s="762">
        <v>-8280</v>
      </c>
    </row>
    <row r="13" spans="1:35" ht="11.25" customHeight="1" x14ac:dyDescent="0.35">
      <c r="A13" s="575">
        <v>6</v>
      </c>
      <c r="B13" s="575"/>
      <c r="C13" s="603" t="s">
        <v>172</v>
      </c>
      <c r="D13" s="603">
        <f t="shared" si="5"/>
        <v>0</v>
      </c>
      <c r="E13" s="603">
        <f t="shared" si="5"/>
        <v>0</v>
      </c>
      <c r="F13" s="603">
        <f t="shared" si="5"/>
        <v>0</v>
      </c>
      <c r="G13" s="603">
        <f t="shared" si="5"/>
        <v>0</v>
      </c>
      <c r="H13" s="603">
        <f t="shared" si="5"/>
        <v>0</v>
      </c>
      <c r="I13" s="603">
        <f t="shared" si="5"/>
        <v>0</v>
      </c>
      <c r="J13" s="603">
        <f t="shared" si="5"/>
        <v>0</v>
      </c>
      <c r="K13" s="603">
        <f t="shared" si="5"/>
        <v>0</v>
      </c>
      <c r="L13" s="603">
        <f t="shared" si="5"/>
        <v>0</v>
      </c>
      <c r="M13" s="603">
        <f t="shared" si="5"/>
        <v>0</v>
      </c>
      <c r="N13" s="603">
        <f t="shared" si="5"/>
        <v>0</v>
      </c>
      <c r="O13" s="603">
        <f t="shared" si="5"/>
        <v>0</v>
      </c>
      <c r="P13" s="603"/>
      <c r="Q13" s="601">
        <f t="shared" si="3"/>
        <v>0</v>
      </c>
      <c r="R13" s="613"/>
      <c r="S13" s="575"/>
      <c r="T13" s="758" t="s">
        <v>375</v>
      </c>
      <c r="U13" s="759">
        <v>67517.960000000006</v>
      </c>
      <c r="V13" s="759">
        <v>67971.58</v>
      </c>
      <c r="W13" s="759">
        <v>66763.69</v>
      </c>
      <c r="X13" s="759">
        <v>70770.240000000005</v>
      </c>
      <c r="Y13" s="759">
        <v>70201.64</v>
      </c>
      <c r="Z13" s="759">
        <v>69518.77</v>
      </c>
      <c r="AA13" s="759">
        <v>70452.800000000003</v>
      </c>
      <c r="AB13" s="759">
        <v>71629.429999999993</v>
      </c>
      <c r="AC13" s="759">
        <v>72533.95</v>
      </c>
      <c r="AD13" s="759">
        <v>72901.45</v>
      </c>
      <c r="AE13" s="759">
        <v>72904.06</v>
      </c>
      <c r="AF13" s="759">
        <v>73350.61</v>
      </c>
      <c r="AG13" s="760">
        <v>846516.18</v>
      </c>
      <c r="AH13" s="707"/>
    </row>
    <row r="14" spans="1:35" ht="11.25" customHeight="1" x14ac:dyDescent="0.2">
      <c r="A14" s="599"/>
      <c r="B14" s="609" t="s">
        <v>173</v>
      </c>
      <c r="C14" s="605"/>
      <c r="D14" s="605">
        <f t="shared" ref="D14:O14" si="6">SUM(D9:D13)</f>
        <v>66373.960000000006</v>
      </c>
      <c r="E14" s="605">
        <f t="shared" si="6"/>
        <v>66827.58</v>
      </c>
      <c r="F14" s="605">
        <f t="shared" si="6"/>
        <v>63730.270000000004</v>
      </c>
      <c r="G14" s="605">
        <f t="shared" si="6"/>
        <v>70075.67</v>
      </c>
      <c r="H14" s="605">
        <f t="shared" si="6"/>
        <v>67786.940000000017</v>
      </c>
      <c r="I14" s="605">
        <f t="shared" si="6"/>
        <v>68599.600000000006</v>
      </c>
      <c r="J14" s="605">
        <f t="shared" si="6"/>
        <v>71374.5</v>
      </c>
      <c r="K14" s="605">
        <f t="shared" si="6"/>
        <v>71629.430000000008</v>
      </c>
      <c r="L14" s="605">
        <f t="shared" si="6"/>
        <v>69633.95</v>
      </c>
      <c r="M14" s="605">
        <f t="shared" si="6"/>
        <v>72862.95</v>
      </c>
      <c r="N14" s="605">
        <f t="shared" si="6"/>
        <v>69598.06</v>
      </c>
      <c r="O14" s="605">
        <f t="shared" si="6"/>
        <v>72405.61</v>
      </c>
      <c r="P14" s="605"/>
      <c r="Q14" s="605">
        <f t="shared" si="3"/>
        <v>830898.5199999999</v>
      </c>
      <c r="R14" s="576"/>
      <c r="S14" s="575"/>
      <c r="T14" s="758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59"/>
      <c r="AF14" s="759"/>
      <c r="AG14" s="760"/>
      <c r="AH14" s="706"/>
    </row>
    <row r="15" spans="1:35" ht="11.25" customHeight="1" x14ac:dyDescent="0.2">
      <c r="A15" s="575"/>
      <c r="B15" s="57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  <c r="P15" s="610"/>
      <c r="Q15" s="605"/>
      <c r="R15" s="576"/>
      <c r="S15" s="575"/>
      <c r="T15" s="758" t="s">
        <v>376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 s="707"/>
    </row>
    <row r="16" spans="1:35" ht="11.25" customHeight="1" x14ac:dyDescent="0.2">
      <c r="A16" s="575">
        <v>7</v>
      </c>
      <c r="B16" s="611"/>
      <c r="C16" s="612" t="s">
        <v>544</v>
      </c>
      <c r="D16" s="606">
        <f t="shared" ref="D16:O23" si="7">SUMIF($S$6:$S$200,$A16,U$6:U$200)</f>
        <v>4606.47</v>
      </c>
      <c r="E16" s="606">
        <f t="shared" si="7"/>
        <v>5262.22</v>
      </c>
      <c r="F16" s="606">
        <f t="shared" si="7"/>
        <v>5360.64</v>
      </c>
      <c r="G16" s="606">
        <f t="shared" si="7"/>
        <v>3608.73</v>
      </c>
      <c r="H16" s="606">
        <f t="shared" si="7"/>
        <v>4803.04</v>
      </c>
      <c r="I16" s="606">
        <f t="shared" si="7"/>
        <v>4305.43</v>
      </c>
      <c r="J16" s="606">
        <f t="shared" si="7"/>
        <v>4921.82</v>
      </c>
      <c r="K16" s="606">
        <f t="shared" si="7"/>
        <v>5259.7</v>
      </c>
      <c r="L16" s="606">
        <f t="shared" si="7"/>
        <v>5764.51</v>
      </c>
      <c r="M16" s="606">
        <f t="shared" si="7"/>
        <v>5595.81</v>
      </c>
      <c r="N16" s="606">
        <f t="shared" si="7"/>
        <v>6882.88</v>
      </c>
      <c r="O16" s="606">
        <f t="shared" si="7"/>
        <v>6596.08</v>
      </c>
      <c r="P16" s="605"/>
      <c r="Q16" s="604">
        <f t="shared" ref="Q16:Q24" si="8">SUM(D16:O16)</f>
        <v>62967.33</v>
      </c>
      <c r="R16" s="576"/>
      <c r="S16" s="575">
        <v>10</v>
      </c>
      <c r="T16" s="756" t="s">
        <v>377</v>
      </c>
      <c r="U16" s="759">
        <v>400</v>
      </c>
      <c r="V16" s="759">
        <v>300</v>
      </c>
      <c r="W16" s="759">
        <v>0</v>
      </c>
      <c r="X16" s="759">
        <v>200</v>
      </c>
      <c r="Y16" s="759">
        <v>134.78</v>
      </c>
      <c r="Z16" s="759">
        <v>500</v>
      </c>
      <c r="AA16" s="759">
        <v>700</v>
      </c>
      <c r="AB16" s="759">
        <v>700</v>
      </c>
      <c r="AC16" s="759">
        <v>800</v>
      </c>
      <c r="AD16" s="759">
        <v>600</v>
      </c>
      <c r="AE16" s="759">
        <v>500</v>
      </c>
      <c r="AF16" s="759">
        <v>700</v>
      </c>
      <c r="AG16" s="760">
        <v>5534.78</v>
      </c>
      <c r="AH16" s="756" t="s">
        <v>395</v>
      </c>
      <c r="AI16" s="760">
        <v>62967.33</v>
      </c>
    </row>
    <row r="17" spans="1:35" ht="11.25" customHeight="1" x14ac:dyDescent="0.2">
      <c r="A17" s="575">
        <v>8</v>
      </c>
      <c r="B17" s="611"/>
      <c r="C17" s="612" t="s">
        <v>545</v>
      </c>
      <c r="D17" s="606">
        <f t="shared" si="7"/>
        <v>1264.2</v>
      </c>
      <c r="E17" s="606">
        <f t="shared" si="7"/>
        <v>1261.74</v>
      </c>
      <c r="F17" s="606">
        <f t="shared" si="7"/>
        <v>1255.94</v>
      </c>
      <c r="G17" s="606">
        <f t="shared" si="7"/>
        <v>1254.0899999999999</v>
      </c>
      <c r="H17" s="606">
        <f t="shared" si="7"/>
        <v>1175.9100000000001</v>
      </c>
      <c r="I17" s="606">
        <f t="shared" si="7"/>
        <v>1318.49</v>
      </c>
      <c r="J17" s="606">
        <f t="shared" si="7"/>
        <v>1296</v>
      </c>
      <c r="K17" s="606">
        <f t="shared" si="7"/>
        <v>1333.2</v>
      </c>
      <c r="L17" s="606">
        <f t="shared" si="7"/>
        <v>1350</v>
      </c>
      <c r="M17" s="606">
        <f t="shared" si="7"/>
        <v>1381.92</v>
      </c>
      <c r="N17" s="606">
        <f t="shared" si="7"/>
        <v>1333.94</v>
      </c>
      <c r="O17" s="606">
        <f t="shared" si="7"/>
        <v>1302.58</v>
      </c>
      <c r="P17" s="605"/>
      <c r="Q17" s="604">
        <f t="shared" si="8"/>
        <v>15528.01</v>
      </c>
      <c r="R17" s="576"/>
      <c r="S17" s="575">
        <v>14</v>
      </c>
      <c r="T17" s="756" t="s">
        <v>378</v>
      </c>
      <c r="U17" s="759">
        <v>0</v>
      </c>
      <c r="V17" s="759">
        <v>100</v>
      </c>
      <c r="W17" s="759">
        <v>0</v>
      </c>
      <c r="X17" s="759">
        <v>0</v>
      </c>
      <c r="Y17" s="759">
        <v>50</v>
      </c>
      <c r="Z17" s="759">
        <v>150</v>
      </c>
      <c r="AA17" s="759">
        <v>0</v>
      </c>
      <c r="AB17" s="759">
        <v>0</v>
      </c>
      <c r="AC17" s="759">
        <v>50</v>
      </c>
      <c r="AD17" s="759">
        <v>100</v>
      </c>
      <c r="AE17" s="759">
        <v>50</v>
      </c>
      <c r="AF17" s="759">
        <v>50</v>
      </c>
      <c r="AG17" s="760">
        <v>550</v>
      </c>
      <c r="AH17" s="756" t="s">
        <v>396</v>
      </c>
      <c r="AI17" s="760">
        <v>15528.01</v>
      </c>
    </row>
    <row r="18" spans="1:35" ht="11.25" customHeight="1" x14ac:dyDescent="0.2">
      <c r="A18" s="575">
        <v>9</v>
      </c>
      <c r="B18" s="611"/>
      <c r="C18" s="612" t="s">
        <v>550</v>
      </c>
      <c r="D18" s="606">
        <f t="shared" si="7"/>
        <v>1380.31</v>
      </c>
      <c r="E18" s="606">
        <f t="shared" si="7"/>
        <v>1710</v>
      </c>
      <c r="F18" s="606">
        <f t="shared" si="7"/>
        <v>1640.65</v>
      </c>
      <c r="G18" s="606">
        <f t="shared" si="7"/>
        <v>1541.13</v>
      </c>
      <c r="H18" s="606">
        <f t="shared" si="7"/>
        <v>1140</v>
      </c>
      <c r="I18" s="606">
        <f t="shared" si="7"/>
        <v>1553</v>
      </c>
      <c r="J18" s="606">
        <f t="shared" si="7"/>
        <v>1269.8399999999999</v>
      </c>
      <c r="K18" s="606">
        <f t="shared" si="7"/>
        <v>1302</v>
      </c>
      <c r="L18" s="606">
        <f t="shared" si="7"/>
        <v>1322.59</v>
      </c>
      <c r="M18" s="606">
        <f t="shared" si="7"/>
        <v>1340</v>
      </c>
      <c r="N18" s="606">
        <f t="shared" si="7"/>
        <v>1306.6600000000001</v>
      </c>
      <c r="O18" s="606">
        <f t="shared" si="7"/>
        <v>1263.8699999999999</v>
      </c>
      <c r="P18" s="605"/>
      <c r="Q18" s="604">
        <f t="shared" si="8"/>
        <v>16770.05</v>
      </c>
      <c r="R18" s="576"/>
      <c r="S18" s="575">
        <v>14</v>
      </c>
      <c r="T18" s="756" t="s">
        <v>379</v>
      </c>
      <c r="U18" s="759">
        <v>100</v>
      </c>
      <c r="V18" s="759">
        <v>250</v>
      </c>
      <c r="W18" s="759">
        <v>300</v>
      </c>
      <c r="X18" s="759">
        <v>150</v>
      </c>
      <c r="Y18" s="759">
        <v>0</v>
      </c>
      <c r="Z18" s="759">
        <v>150</v>
      </c>
      <c r="AA18" s="759">
        <v>0</v>
      </c>
      <c r="AB18" s="759">
        <v>0</v>
      </c>
      <c r="AC18" s="759">
        <v>-125</v>
      </c>
      <c r="AD18" s="759">
        <v>50</v>
      </c>
      <c r="AE18" s="759">
        <v>50</v>
      </c>
      <c r="AF18" s="759">
        <v>50</v>
      </c>
      <c r="AG18" s="760">
        <v>975</v>
      </c>
      <c r="AH18" s="756" t="s">
        <v>390</v>
      </c>
      <c r="AI18" s="760">
        <v>14330.05</v>
      </c>
    </row>
    <row r="19" spans="1:35" ht="11.25" customHeight="1" x14ac:dyDescent="0.2">
      <c r="A19" s="575">
        <v>10</v>
      </c>
      <c r="B19" s="611"/>
      <c r="C19" s="612" t="s">
        <v>546</v>
      </c>
      <c r="D19" s="606">
        <f t="shared" si="7"/>
        <v>400</v>
      </c>
      <c r="E19" s="606">
        <f t="shared" si="7"/>
        <v>300</v>
      </c>
      <c r="F19" s="606">
        <f t="shared" si="7"/>
        <v>0</v>
      </c>
      <c r="G19" s="606">
        <f t="shared" si="7"/>
        <v>200</v>
      </c>
      <c r="H19" s="606">
        <f t="shared" si="7"/>
        <v>134.78</v>
      </c>
      <c r="I19" s="606">
        <f t="shared" si="7"/>
        <v>500</v>
      </c>
      <c r="J19" s="606">
        <f t="shared" si="7"/>
        <v>700</v>
      </c>
      <c r="K19" s="606">
        <f t="shared" si="7"/>
        <v>700</v>
      </c>
      <c r="L19" s="606">
        <f t="shared" si="7"/>
        <v>800</v>
      </c>
      <c r="M19" s="606">
        <f t="shared" si="7"/>
        <v>600</v>
      </c>
      <c r="N19" s="606">
        <f t="shared" si="7"/>
        <v>500</v>
      </c>
      <c r="O19" s="606">
        <f t="shared" si="7"/>
        <v>700</v>
      </c>
      <c r="P19" s="605"/>
      <c r="Q19" s="604">
        <f t="shared" si="8"/>
        <v>5534.78</v>
      </c>
      <c r="R19" s="576"/>
      <c r="S19" s="575">
        <v>13</v>
      </c>
      <c r="T19" s="756" t="s">
        <v>380</v>
      </c>
      <c r="U19" s="759">
        <v>125</v>
      </c>
      <c r="V19" s="759">
        <v>500</v>
      </c>
      <c r="W19" s="759">
        <v>375</v>
      </c>
      <c r="X19" s="759">
        <v>375</v>
      </c>
      <c r="Y19" s="759">
        <v>0</v>
      </c>
      <c r="Z19" s="759">
        <v>250</v>
      </c>
      <c r="AA19" s="759">
        <v>125</v>
      </c>
      <c r="AB19" s="759">
        <v>0</v>
      </c>
      <c r="AC19" s="759">
        <v>125</v>
      </c>
      <c r="AD19" s="759">
        <v>125</v>
      </c>
      <c r="AE19" s="759">
        <v>125</v>
      </c>
      <c r="AF19" s="759">
        <v>125</v>
      </c>
      <c r="AG19" s="760">
        <v>2250</v>
      </c>
      <c r="AH19" s="756" t="s">
        <v>392</v>
      </c>
      <c r="AI19" s="760">
        <v>7252.21</v>
      </c>
    </row>
    <row r="20" spans="1:35" ht="11.25" customHeight="1" x14ac:dyDescent="0.2">
      <c r="A20" s="575">
        <v>11</v>
      </c>
      <c r="B20" s="611"/>
      <c r="C20" s="612" t="s">
        <v>547</v>
      </c>
      <c r="D20" s="606">
        <f t="shared" si="7"/>
        <v>113.75</v>
      </c>
      <c r="E20" s="606">
        <f t="shared" si="7"/>
        <v>113.75</v>
      </c>
      <c r="F20" s="606">
        <f t="shared" si="7"/>
        <v>113.75</v>
      </c>
      <c r="G20" s="606">
        <f t="shared" si="7"/>
        <v>113.75</v>
      </c>
      <c r="H20" s="606">
        <f t="shared" si="7"/>
        <v>113.75</v>
      </c>
      <c r="I20" s="606">
        <f t="shared" si="7"/>
        <v>113.75</v>
      </c>
      <c r="J20" s="606">
        <f t="shared" si="7"/>
        <v>2337.33</v>
      </c>
      <c r="K20" s="606">
        <f t="shared" si="7"/>
        <v>1257.9100000000001</v>
      </c>
      <c r="L20" s="606">
        <f t="shared" si="7"/>
        <v>113.75</v>
      </c>
      <c r="M20" s="606">
        <f t="shared" si="7"/>
        <v>113.75</v>
      </c>
      <c r="N20" s="606">
        <f t="shared" si="7"/>
        <v>1226.33</v>
      </c>
      <c r="O20" s="606">
        <f t="shared" si="7"/>
        <v>113.75</v>
      </c>
      <c r="P20" s="605"/>
      <c r="Q20" s="604">
        <f t="shared" si="8"/>
        <v>5845.32</v>
      </c>
      <c r="R20" s="576"/>
      <c r="S20" s="575">
        <v>14</v>
      </c>
      <c r="T20" s="756" t="s">
        <v>381</v>
      </c>
      <c r="U20" s="759">
        <v>0</v>
      </c>
      <c r="V20" s="759">
        <v>0</v>
      </c>
      <c r="W20" s="759">
        <v>75</v>
      </c>
      <c r="X20" s="759">
        <v>0</v>
      </c>
      <c r="Y20" s="759">
        <v>0</v>
      </c>
      <c r="Z20" s="759">
        <v>205</v>
      </c>
      <c r="AA20" s="759">
        <v>0</v>
      </c>
      <c r="AB20" s="759">
        <v>0</v>
      </c>
      <c r="AC20" s="759">
        <v>0</v>
      </c>
      <c r="AD20" s="759">
        <v>0</v>
      </c>
      <c r="AE20" s="759">
        <v>0</v>
      </c>
      <c r="AF20" s="759">
        <v>0</v>
      </c>
      <c r="AG20" s="760">
        <v>280</v>
      </c>
      <c r="AH20" s="756" t="s">
        <v>377</v>
      </c>
      <c r="AI20" s="760">
        <v>5534.78</v>
      </c>
    </row>
    <row r="21" spans="1:35" ht="11.25" customHeight="1" x14ac:dyDescent="0.2">
      <c r="A21" s="575">
        <v>12</v>
      </c>
      <c r="B21" s="611"/>
      <c r="C21" s="612" t="s">
        <v>548</v>
      </c>
      <c r="D21" s="606">
        <f t="shared" si="7"/>
        <v>209.45</v>
      </c>
      <c r="E21" s="606">
        <f t="shared" si="7"/>
        <v>209.45</v>
      </c>
      <c r="F21" s="606">
        <f t="shared" si="7"/>
        <v>206.5</v>
      </c>
      <c r="G21" s="606">
        <f t="shared" si="7"/>
        <v>209.45</v>
      </c>
      <c r="H21" s="606">
        <f t="shared" si="7"/>
        <v>194.7</v>
      </c>
      <c r="I21" s="606">
        <f t="shared" si="7"/>
        <v>218.3</v>
      </c>
      <c r="J21" s="606">
        <f t="shared" si="7"/>
        <v>202.4</v>
      </c>
      <c r="K21" s="606">
        <f t="shared" si="7"/>
        <v>221.25</v>
      </c>
      <c r="L21" s="606">
        <f t="shared" si="7"/>
        <v>221.25</v>
      </c>
      <c r="M21" s="606">
        <f t="shared" si="7"/>
        <v>227.15</v>
      </c>
      <c r="N21" s="606">
        <f t="shared" si="7"/>
        <v>218.3</v>
      </c>
      <c r="O21" s="606">
        <f t="shared" si="7"/>
        <v>215.35</v>
      </c>
      <c r="P21" s="605"/>
      <c r="Q21" s="604">
        <f t="shared" si="8"/>
        <v>2553.5500000000002</v>
      </c>
      <c r="R21" s="576"/>
      <c r="S21" s="575">
        <v>14</v>
      </c>
      <c r="T21" s="756" t="s">
        <v>382</v>
      </c>
      <c r="U21" s="759">
        <v>86.39</v>
      </c>
      <c r="V21" s="759">
        <v>65.47</v>
      </c>
      <c r="W21" s="759">
        <v>0</v>
      </c>
      <c r="X21" s="759">
        <v>387.01</v>
      </c>
      <c r="Y21" s="759">
        <v>216.66</v>
      </c>
      <c r="Z21" s="759">
        <v>0</v>
      </c>
      <c r="AA21" s="759">
        <v>248.91</v>
      </c>
      <c r="AB21" s="759">
        <v>431.78</v>
      </c>
      <c r="AC21" s="759">
        <v>131.59</v>
      </c>
      <c r="AD21" s="759">
        <v>51.31</v>
      </c>
      <c r="AE21" s="759">
        <v>2.82</v>
      </c>
      <c r="AF21" s="759">
        <v>85.41</v>
      </c>
      <c r="AG21" s="760">
        <v>1707.35</v>
      </c>
      <c r="AH21" s="756" t="s">
        <v>384</v>
      </c>
      <c r="AI21" s="760">
        <v>4480.32</v>
      </c>
    </row>
    <row r="22" spans="1:35" ht="11.25" customHeight="1" x14ac:dyDescent="0.2">
      <c r="A22" s="575">
        <v>13</v>
      </c>
      <c r="B22" s="611"/>
      <c r="C22" s="606" t="s">
        <v>549</v>
      </c>
      <c r="D22" s="606">
        <f t="shared" si="7"/>
        <v>125</v>
      </c>
      <c r="E22" s="606">
        <f t="shared" si="7"/>
        <v>500</v>
      </c>
      <c r="F22" s="606">
        <f t="shared" si="7"/>
        <v>375</v>
      </c>
      <c r="G22" s="606">
        <f t="shared" si="7"/>
        <v>375</v>
      </c>
      <c r="H22" s="606">
        <f t="shared" si="7"/>
        <v>0</v>
      </c>
      <c r="I22" s="606">
        <f t="shared" si="7"/>
        <v>250</v>
      </c>
      <c r="J22" s="606">
        <f t="shared" si="7"/>
        <v>125</v>
      </c>
      <c r="K22" s="606">
        <f t="shared" si="7"/>
        <v>0</v>
      </c>
      <c r="L22" s="606">
        <f t="shared" si="7"/>
        <v>125</v>
      </c>
      <c r="M22" s="606">
        <f t="shared" si="7"/>
        <v>125</v>
      </c>
      <c r="N22" s="606">
        <f t="shared" si="7"/>
        <v>125</v>
      </c>
      <c r="O22" s="606">
        <f t="shared" si="7"/>
        <v>125</v>
      </c>
      <c r="P22" s="605"/>
      <c r="Q22" s="604">
        <f t="shared" si="8"/>
        <v>2250</v>
      </c>
      <c r="R22" s="576"/>
      <c r="S22" s="575">
        <v>14</v>
      </c>
      <c r="T22" s="756" t="s">
        <v>383</v>
      </c>
      <c r="U22" s="759">
        <v>0</v>
      </c>
      <c r="V22" s="759">
        <v>107.57</v>
      </c>
      <c r="W22" s="759">
        <v>0</v>
      </c>
      <c r="X22" s="759">
        <v>0</v>
      </c>
      <c r="Y22" s="759">
        <v>0</v>
      </c>
      <c r="Z22" s="759">
        <v>0</v>
      </c>
      <c r="AA22" s="759">
        <v>0</v>
      </c>
      <c r="AB22" s="759">
        <v>0</v>
      </c>
      <c r="AC22" s="759">
        <v>0</v>
      </c>
      <c r="AD22" s="759">
        <v>0</v>
      </c>
      <c r="AE22" s="759">
        <v>0</v>
      </c>
      <c r="AF22" s="759">
        <v>0</v>
      </c>
      <c r="AG22" s="760">
        <v>107.57</v>
      </c>
      <c r="AH22" s="756" t="s">
        <v>394</v>
      </c>
      <c r="AI22" s="760">
        <v>2553.5500000000002</v>
      </c>
    </row>
    <row r="23" spans="1:35" ht="11.25" customHeight="1" x14ac:dyDescent="0.35">
      <c r="A23" s="575">
        <v>14</v>
      </c>
      <c r="B23" s="575"/>
      <c r="C23" s="603" t="s">
        <v>356</v>
      </c>
      <c r="D23" s="603">
        <f t="shared" si="7"/>
        <v>-0.97000000000005571</v>
      </c>
      <c r="E23" s="603">
        <f t="shared" si="7"/>
        <v>1790.1100000000001</v>
      </c>
      <c r="F23" s="603">
        <f t="shared" si="7"/>
        <v>-25.169999999999959</v>
      </c>
      <c r="G23" s="603">
        <f t="shared" si="7"/>
        <v>1403.8300000000002</v>
      </c>
      <c r="H23" s="603">
        <f t="shared" si="7"/>
        <v>138.76999999999992</v>
      </c>
      <c r="I23" s="603">
        <f t="shared" si="7"/>
        <v>-50.340000000000032</v>
      </c>
      <c r="J23" s="603">
        <f t="shared" si="7"/>
        <v>3376.54</v>
      </c>
      <c r="K23" s="603">
        <f t="shared" si="7"/>
        <v>620.46999999999991</v>
      </c>
      <c r="L23" s="603">
        <f t="shared" si="7"/>
        <v>149.49</v>
      </c>
      <c r="M23" s="603">
        <f t="shared" si="7"/>
        <v>-95.0799999999997</v>
      </c>
      <c r="N23" s="603">
        <f t="shared" si="7"/>
        <v>683.77</v>
      </c>
      <c r="O23" s="603">
        <f t="shared" si="7"/>
        <v>272.89999999999998</v>
      </c>
      <c r="P23" s="602"/>
      <c r="Q23" s="601">
        <f t="shared" si="8"/>
        <v>8264.32</v>
      </c>
      <c r="R23" s="576"/>
      <c r="S23" s="575">
        <v>11</v>
      </c>
      <c r="T23" s="756" t="s">
        <v>384</v>
      </c>
      <c r="U23" s="759">
        <v>0</v>
      </c>
      <c r="V23" s="759">
        <v>0</v>
      </c>
      <c r="W23" s="759">
        <v>0</v>
      </c>
      <c r="X23" s="759">
        <v>0</v>
      </c>
      <c r="Y23" s="759">
        <v>0</v>
      </c>
      <c r="Z23" s="759">
        <v>0</v>
      </c>
      <c r="AA23" s="759">
        <v>2223.58</v>
      </c>
      <c r="AB23" s="759">
        <v>1144.1600000000001</v>
      </c>
      <c r="AC23" s="759">
        <v>0</v>
      </c>
      <c r="AD23" s="759">
        <v>0</v>
      </c>
      <c r="AE23" s="759">
        <v>1112.58</v>
      </c>
      <c r="AF23" s="759">
        <v>0</v>
      </c>
      <c r="AG23" s="760">
        <v>4480.32</v>
      </c>
      <c r="AH23" s="756" t="s">
        <v>389</v>
      </c>
      <c r="AI23" s="760">
        <v>2440</v>
      </c>
    </row>
    <row r="24" spans="1:35" ht="11.25" customHeight="1" x14ac:dyDescent="0.2">
      <c r="A24" s="575"/>
      <c r="B24" s="609" t="s">
        <v>226</v>
      </c>
      <c r="C24" s="605"/>
      <c r="D24" s="605">
        <f t="shared" ref="D24:O24" si="9">SUM(D16:D23)</f>
        <v>8098.2099999999991</v>
      </c>
      <c r="E24" s="605">
        <f t="shared" si="9"/>
        <v>11147.27</v>
      </c>
      <c r="F24" s="605">
        <f t="shared" si="9"/>
        <v>8927.31</v>
      </c>
      <c r="G24" s="605">
        <f t="shared" si="9"/>
        <v>8705.98</v>
      </c>
      <c r="H24" s="605">
        <f t="shared" si="9"/>
        <v>7700.9499999999989</v>
      </c>
      <c r="I24" s="605">
        <f t="shared" si="9"/>
        <v>8208.630000000001</v>
      </c>
      <c r="J24" s="605">
        <f t="shared" si="9"/>
        <v>14228.93</v>
      </c>
      <c r="K24" s="605">
        <f t="shared" si="9"/>
        <v>10694.529999999999</v>
      </c>
      <c r="L24" s="605">
        <f t="shared" si="9"/>
        <v>9846.59</v>
      </c>
      <c r="M24" s="605">
        <f t="shared" si="9"/>
        <v>9288.5499999999993</v>
      </c>
      <c r="N24" s="605">
        <f t="shared" si="9"/>
        <v>12276.88</v>
      </c>
      <c r="O24" s="605">
        <f t="shared" si="9"/>
        <v>10589.529999999999</v>
      </c>
      <c r="P24" s="605"/>
      <c r="Q24" s="605">
        <f t="shared" si="8"/>
        <v>119713.36</v>
      </c>
      <c r="R24" s="576"/>
      <c r="S24" s="575">
        <v>11</v>
      </c>
      <c r="T24" s="756" t="s">
        <v>385</v>
      </c>
      <c r="U24" s="759">
        <v>113.75</v>
      </c>
      <c r="V24" s="759">
        <v>113.75</v>
      </c>
      <c r="W24" s="759">
        <v>113.75</v>
      </c>
      <c r="X24" s="759">
        <v>113.75</v>
      </c>
      <c r="Y24" s="759">
        <v>113.75</v>
      </c>
      <c r="Z24" s="759">
        <v>113.75</v>
      </c>
      <c r="AA24" s="759">
        <v>113.75</v>
      </c>
      <c r="AB24" s="759">
        <v>113.75</v>
      </c>
      <c r="AC24" s="759">
        <v>113.75</v>
      </c>
      <c r="AD24" s="759">
        <v>113.75</v>
      </c>
      <c r="AE24" s="759">
        <v>113.75</v>
      </c>
      <c r="AF24" s="759">
        <v>113.75</v>
      </c>
      <c r="AG24" s="760">
        <v>1365</v>
      </c>
      <c r="AH24" s="756" t="s">
        <v>380</v>
      </c>
      <c r="AI24" s="760">
        <v>2250</v>
      </c>
    </row>
    <row r="25" spans="1:35" ht="11.25" customHeight="1" x14ac:dyDescent="0.2">
      <c r="A25" s="575"/>
      <c r="B25" s="575"/>
      <c r="C25" s="575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05"/>
      <c r="R25" s="576"/>
      <c r="S25" s="575">
        <v>14</v>
      </c>
      <c r="T25" s="756" t="s">
        <v>386</v>
      </c>
      <c r="U25" s="759">
        <v>0</v>
      </c>
      <c r="V25" s="759">
        <v>52.07</v>
      </c>
      <c r="W25" s="759">
        <v>114.45</v>
      </c>
      <c r="X25" s="759">
        <v>32.090000000000003</v>
      </c>
      <c r="Y25" s="759">
        <v>0</v>
      </c>
      <c r="Z25" s="759">
        <v>61.09</v>
      </c>
      <c r="AA25" s="759">
        <v>40.99</v>
      </c>
      <c r="AB25" s="759">
        <v>7.61</v>
      </c>
      <c r="AC25" s="759">
        <v>57.38</v>
      </c>
      <c r="AD25" s="759">
        <v>20.02</v>
      </c>
      <c r="AE25" s="759">
        <v>0</v>
      </c>
      <c r="AF25" s="759">
        <v>0</v>
      </c>
      <c r="AG25" s="760">
        <v>385.7</v>
      </c>
      <c r="AH25" s="756" t="s">
        <v>382</v>
      </c>
      <c r="AI25" s="760">
        <v>1707.35</v>
      </c>
    </row>
    <row r="26" spans="1:35" ht="11.25" customHeight="1" x14ac:dyDescent="0.2">
      <c r="A26" s="599"/>
      <c r="B26" s="609" t="s">
        <v>225</v>
      </c>
      <c r="C26" s="594"/>
      <c r="D26" s="594">
        <f t="shared" ref="D26:O26" si="10">SUM(D14,D24)</f>
        <v>74472.170000000013</v>
      </c>
      <c r="E26" s="594">
        <f t="shared" si="10"/>
        <v>77974.850000000006</v>
      </c>
      <c r="F26" s="594">
        <f t="shared" si="10"/>
        <v>72657.58</v>
      </c>
      <c r="G26" s="594">
        <f t="shared" si="10"/>
        <v>78781.649999999994</v>
      </c>
      <c r="H26" s="594">
        <f t="shared" si="10"/>
        <v>75487.890000000014</v>
      </c>
      <c r="I26" s="594">
        <f t="shared" si="10"/>
        <v>76808.23000000001</v>
      </c>
      <c r="J26" s="594">
        <f t="shared" si="10"/>
        <v>85603.43</v>
      </c>
      <c r="K26" s="594">
        <f t="shared" si="10"/>
        <v>82323.960000000006</v>
      </c>
      <c r="L26" s="594">
        <f t="shared" si="10"/>
        <v>79480.539999999994</v>
      </c>
      <c r="M26" s="594">
        <f t="shared" si="10"/>
        <v>82151.5</v>
      </c>
      <c r="N26" s="594">
        <f t="shared" si="10"/>
        <v>81874.94</v>
      </c>
      <c r="O26" s="594">
        <f t="shared" si="10"/>
        <v>82995.14</v>
      </c>
      <c r="P26" s="594"/>
      <c r="Q26" s="600">
        <f>SUM(D26:O26)</f>
        <v>950611.88</v>
      </c>
      <c r="R26" s="576"/>
      <c r="S26" s="575">
        <v>14</v>
      </c>
      <c r="T26" s="756" t="s">
        <v>387</v>
      </c>
      <c r="U26" s="759">
        <v>0</v>
      </c>
      <c r="V26" s="759">
        <v>176</v>
      </c>
      <c r="W26" s="759">
        <v>0</v>
      </c>
      <c r="X26" s="759">
        <v>0</v>
      </c>
      <c r="Y26" s="759">
        <v>-176</v>
      </c>
      <c r="Z26" s="759">
        <v>0</v>
      </c>
      <c r="AA26" s="759">
        <v>0</v>
      </c>
      <c r="AB26" s="759">
        <v>0</v>
      </c>
      <c r="AC26" s="759">
        <v>0</v>
      </c>
      <c r="AD26" s="759">
        <v>0</v>
      </c>
      <c r="AE26" s="759">
        <v>0</v>
      </c>
      <c r="AF26" s="759">
        <v>0</v>
      </c>
      <c r="AG26" s="760">
        <v>0</v>
      </c>
      <c r="AH26" s="756" t="s">
        <v>385</v>
      </c>
      <c r="AI26" s="760">
        <v>1365</v>
      </c>
    </row>
    <row r="27" spans="1:35" ht="11.25" customHeight="1" x14ac:dyDescent="0.2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99"/>
      <c r="R27" s="576"/>
      <c r="S27" s="575">
        <v>14</v>
      </c>
      <c r="T27" s="756" t="s">
        <v>388</v>
      </c>
      <c r="U27" s="759">
        <v>0</v>
      </c>
      <c r="V27" s="759">
        <v>965</v>
      </c>
      <c r="W27" s="759">
        <v>-965</v>
      </c>
      <c r="X27" s="759">
        <v>0</v>
      </c>
      <c r="Y27" s="759">
        <v>0</v>
      </c>
      <c r="Z27" s="759">
        <v>0</v>
      </c>
      <c r="AA27" s="759">
        <v>0</v>
      </c>
      <c r="AB27" s="759">
        <v>0</v>
      </c>
      <c r="AC27" s="759">
        <v>0</v>
      </c>
      <c r="AD27" s="759">
        <v>919.36</v>
      </c>
      <c r="AE27" s="759">
        <v>-822.46</v>
      </c>
      <c r="AF27" s="759">
        <v>0</v>
      </c>
      <c r="AG27" s="760">
        <v>96.9</v>
      </c>
      <c r="AH27" s="756" t="s">
        <v>379</v>
      </c>
      <c r="AI27" s="760">
        <v>975</v>
      </c>
    </row>
    <row r="28" spans="1:35" ht="11.25" customHeight="1" x14ac:dyDescent="0.2">
      <c r="A28" s="599"/>
      <c r="B28" s="595" t="s">
        <v>0</v>
      </c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99"/>
      <c r="R28" s="576"/>
      <c r="S28" s="575">
        <v>9</v>
      </c>
      <c r="T28" s="756" t="s">
        <v>389</v>
      </c>
      <c r="U28" s="759">
        <v>385</v>
      </c>
      <c r="V28" s="759">
        <v>735</v>
      </c>
      <c r="W28" s="759">
        <v>735</v>
      </c>
      <c r="X28" s="759">
        <v>385</v>
      </c>
      <c r="Y28" s="759">
        <v>0</v>
      </c>
      <c r="Z28" s="759">
        <v>350</v>
      </c>
      <c r="AA28" s="759">
        <v>0</v>
      </c>
      <c r="AB28" s="759">
        <v>0</v>
      </c>
      <c r="AC28" s="759">
        <v>0</v>
      </c>
      <c r="AD28" s="759">
        <v>0</v>
      </c>
      <c r="AE28" s="759">
        <v>-50</v>
      </c>
      <c r="AF28" s="759">
        <v>-100</v>
      </c>
      <c r="AG28" s="760">
        <v>2440</v>
      </c>
      <c r="AH28" s="756" t="s">
        <v>378</v>
      </c>
      <c r="AI28" s="760">
        <v>550</v>
      </c>
    </row>
    <row r="29" spans="1:35" ht="11.25" customHeight="1" x14ac:dyDescent="0.2">
      <c r="A29" s="575">
        <v>15</v>
      </c>
      <c r="B29" s="575"/>
      <c r="C29" s="608" t="s">
        <v>82</v>
      </c>
      <c r="D29" s="608">
        <f t="shared" ref="D29:D44" si="11">SUMIF($S$6:$S$200,$A29,U$6:U$200)</f>
        <v>8563.76</v>
      </c>
      <c r="E29" s="608">
        <f t="shared" ref="E29:E44" si="12">SUMIF($S$6:$S$200,$A29,V$6:V$200)</f>
        <v>13527.63</v>
      </c>
      <c r="F29" s="608">
        <f t="shared" ref="F29:F44" si="13">SUMIF($S$6:$S$200,$A29,W$6:W$200)</f>
        <v>10440</v>
      </c>
      <c r="G29" s="608">
        <f t="shared" ref="G29:G44" si="14">SUMIF($S$6:$S$200,$A29,X$6:X$200)</f>
        <v>9431.4699999999993</v>
      </c>
      <c r="H29" s="608">
        <f t="shared" ref="H29:H44" si="15">SUMIF($S$6:$S$200,$A29,Y$6:Y$200)</f>
        <v>7319.7100000000009</v>
      </c>
      <c r="I29" s="608">
        <f t="shared" ref="I29:I44" si="16">SUMIF($S$6:$S$200,$A29,Z$6:Z$200)</f>
        <v>7845.21</v>
      </c>
      <c r="J29" s="608">
        <f t="shared" ref="J29:J44" si="17">SUMIF($S$6:$S$200,$A29,AA$6:AA$200)</f>
        <v>9862.8799999999992</v>
      </c>
      <c r="K29" s="608">
        <f t="shared" ref="K29:K44" si="18">SUMIF($S$6:$S$200,$A29,AB$6:AB$200)</f>
        <v>9511.9800000000014</v>
      </c>
      <c r="L29" s="608">
        <f t="shared" ref="L29:L44" si="19">SUMIF($S$6:$S$200,$A29,AC$6:AC$200)</f>
        <v>9419</v>
      </c>
      <c r="M29" s="608">
        <f t="shared" ref="M29:M44" si="20">SUMIF($S$6:$S$200,$A29,AD$6:AD$200)</f>
        <v>13665.23</v>
      </c>
      <c r="N29" s="608">
        <f t="shared" ref="N29:N44" si="21">SUMIF($S$6:$S$200,$A29,AE$6:AE$200)</f>
        <v>10087.929999999998</v>
      </c>
      <c r="O29" s="608">
        <f t="shared" ref="O29:O44" si="22">SUMIF($S$6:$S$200,$A29,AF$6:AF$200)</f>
        <v>9498.1400000000012</v>
      </c>
      <c r="P29" s="594"/>
      <c r="Q29" s="607">
        <f t="shared" ref="Q29:Q45" si="23">SUM(D29:O29)</f>
        <v>119172.93999999999</v>
      </c>
      <c r="R29" s="576"/>
      <c r="S29" s="575">
        <v>9</v>
      </c>
      <c r="T29" s="756" t="s">
        <v>390</v>
      </c>
      <c r="U29" s="759">
        <v>995.31</v>
      </c>
      <c r="V29" s="759">
        <v>975</v>
      </c>
      <c r="W29" s="759">
        <v>905.65</v>
      </c>
      <c r="X29" s="759">
        <v>1156.1300000000001</v>
      </c>
      <c r="Y29" s="759">
        <v>1140</v>
      </c>
      <c r="Z29" s="759">
        <v>1203</v>
      </c>
      <c r="AA29" s="759">
        <v>1269.8399999999999</v>
      </c>
      <c r="AB29" s="759">
        <v>1302</v>
      </c>
      <c r="AC29" s="759">
        <v>1322.59</v>
      </c>
      <c r="AD29" s="759">
        <v>1340</v>
      </c>
      <c r="AE29" s="759">
        <v>1356.66</v>
      </c>
      <c r="AF29" s="759">
        <v>1363.87</v>
      </c>
      <c r="AG29" s="760">
        <v>14330.05</v>
      </c>
      <c r="AH29" s="756" t="s">
        <v>386</v>
      </c>
      <c r="AI29" s="760">
        <v>385.7</v>
      </c>
    </row>
    <row r="30" spans="1:35" ht="11.25" customHeight="1" x14ac:dyDescent="0.2">
      <c r="A30" s="575">
        <v>16</v>
      </c>
      <c r="B30" s="575"/>
      <c r="C30" s="606" t="s">
        <v>83</v>
      </c>
      <c r="D30" s="606">
        <f t="shared" si="11"/>
        <v>871.62</v>
      </c>
      <c r="E30" s="606">
        <f t="shared" si="12"/>
        <v>813.04</v>
      </c>
      <c r="F30" s="606">
        <f t="shared" si="13"/>
        <v>965.70999999999992</v>
      </c>
      <c r="G30" s="606">
        <f t="shared" si="14"/>
        <v>1373.7199999999998</v>
      </c>
      <c r="H30" s="606">
        <f t="shared" si="15"/>
        <v>893.18000000000006</v>
      </c>
      <c r="I30" s="606">
        <f t="shared" si="16"/>
        <v>1246.3900000000001</v>
      </c>
      <c r="J30" s="606">
        <f t="shared" si="17"/>
        <v>1010.5200000000001</v>
      </c>
      <c r="K30" s="606">
        <f t="shared" si="18"/>
        <v>812.2</v>
      </c>
      <c r="L30" s="606">
        <f t="shared" si="19"/>
        <v>698.15000000000009</v>
      </c>
      <c r="M30" s="606">
        <f t="shared" si="20"/>
        <v>1083.76</v>
      </c>
      <c r="N30" s="606">
        <f t="shared" si="21"/>
        <v>715.45</v>
      </c>
      <c r="O30" s="606">
        <f t="shared" si="22"/>
        <v>793.14</v>
      </c>
      <c r="P30" s="605"/>
      <c r="Q30" s="604">
        <f t="shared" si="23"/>
        <v>11276.880000000001</v>
      </c>
      <c r="R30" s="576"/>
      <c r="S30" s="575">
        <v>14</v>
      </c>
      <c r="T30" s="756" t="s">
        <v>391</v>
      </c>
      <c r="U30" s="759">
        <v>-335.99</v>
      </c>
      <c r="V30" s="759">
        <v>-111.46</v>
      </c>
      <c r="W30" s="759">
        <v>-4.1399999999999997</v>
      </c>
      <c r="X30" s="759">
        <v>70.59</v>
      </c>
      <c r="Y30" s="759">
        <v>-43.2</v>
      </c>
      <c r="Z30" s="759">
        <v>-908.85</v>
      </c>
      <c r="AA30" s="759">
        <v>9.86</v>
      </c>
      <c r="AB30" s="759">
        <v>32.619999999999997</v>
      </c>
      <c r="AC30" s="759">
        <v>-79.25</v>
      </c>
      <c r="AD30" s="759">
        <v>-93.86</v>
      </c>
      <c r="AE30" s="759">
        <v>94.76</v>
      </c>
      <c r="AF30" s="759">
        <v>-59.08</v>
      </c>
      <c r="AG30" s="760">
        <v>-1428</v>
      </c>
      <c r="AH30" s="756" t="s">
        <v>381</v>
      </c>
      <c r="AI30" s="760">
        <v>280</v>
      </c>
    </row>
    <row r="31" spans="1:35" ht="11.25" customHeight="1" x14ac:dyDescent="0.2">
      <c r="A31" s="575">
        <v>17</v>
      </c>
      <c r="B31" s="575"/>
      <c r="C31" s="606" t="s">
        <v>224</v>
      </c>
      <c r="D31" s="606">
        <f t="shared" si="11"/>
        <v>1535.8700000000001</v>
      </c>
      <c r="E31" s="606">
        <f t="shared" si="12"/>
        <v>1034.18</v>
      </c>
      <c r="F31" s="606">
        <f t="shared" si="13"/>
        <v>1030.4299999999998</v>
      </c>
      <c r="G31" s="606">
        <f t="shared" si="14"/>
        <v>1725.6699999999998</v>
      </c>
      <c r="H31" s="606">
        <f t="shared" si="15"/>
        <v>1107.3400000000001</v>
      </c>
      <c r="I31" s="606">
        <f t="shared" si="16"/>
        <v>1559.06</v>
      </c>
      <c r="J31" s="606">
        <f t="shared" si="17"/>
        <v>933.1400000000001</v>
      </c>
      <c r="K31" s="606">
        <f t="shared" si="18"/>
        <v>1213.46</v>
      </c>
      <c r="L31" s="606">
        <f t="shared" si="19"/>
        <v>936.08999999999992</v>
      </c>
      <c r="M31" s="606">
        <f t="shared" si="20"/>
        <v>2698.61</v>
      </c>
      <c r="N31" s="606">
        <f t="shared" si="21"/>
        <v>1925.1</v>
      </c>
      <c r="O31" s="606">
        <f t="shared" si="22"/>
        <v>1105.92</v>
      </c>
      <c r="P31" s="605"/>
      <c r="Q31" s="604">
        <f t="shared" si="23"/>
        <v>16804.87</v>
      </c>
      <c r="R31" s="576"/>
      <c r="S31" s="575">
        <v>14</v>
      </c>
      <c r="T31" s="756" t="s">
        <v>392</v>
      </c>
      <c r="U31" s="759">
        <v>529.9</v>
      </c>
      <c r="V31" s="759">
        <v>466.25</v>
      </c>
      <c r="W31" s="759">
        <v>491.85</v>
      </c>
      <c r="X31" s="759">
        <v>649.02</v>
      </c>
      <c r="Y31" s="759">
        <v>534.20000000000005</v>
      </c>
      <c r="Z31" s="759">
        <v>607.04999999999995</v>
      </c>
      <c r="AA31" s="759">
        <v>607.25</v>
      </c>
      <c r="AB31" s="759">
        <v>729.86</v>
      </c>
      <c r="AC31" s="759">
        <v>692.42</v>
      </c>
      <c r="AD31" s="759">
        <v>581.83000000000004</v>
      </c>
      <c r="AE31" s="759">
        <v>651.58000000000004</v>
      </c>
      <c r="AF31" s="759">
        <v>711</v>
      </c>
      <c r="AG31" s="760">
        <v>7252.21</v>
      </c>
      <c r="AH31" s="756" t="s">
        <v>383</v>
      </c>
      <c r="AI31" s="760">
        <v>107.57</v>
      </c>
    </row>
    <row r="32" spans="1:35" ht="11.25" customHeight="1" x14ac:dyDescent="0.2">
      <c r="A32" s="575">
        <v>18</v>
      </c>
      <c r="B32" s="575"/>
      <c r="C32" s="606" t="s">
        <v>204</v>
      </c>
      <c r="D32" s="606">
        <f t="shared" si="11"/>
        <v>3470.46</v>
      </c>
      <c r="E32" s="606">
        <f t="shared" si="12"/>
        <v>3245.41</v>
      </c>
      <c r="F32" s="606">
        <f t="shared" si="13"/>
        <v>5344.65</v>
      </c>
      <c r="G32" s="606">
        <f t="shared" si="14"/>
        <v>3194.92</v>
      </c>
      <c r="H32" s="606">
        <f t="shared" si="15"/>
        <v>6743.65</v>
      </c>
      <c r="I32" s="606">
        <f t="shared" si="16"/>
        <v>3164.08</v>
      </c>
      <c r="J32" s="606">
        <f t="shared" si="17"/>
        <v>3800.73</v>
      </c>
      <c r="K32" s="606">
        <f t="shared" si="18"/>
        <v>4233.7800000000007</v>
      </c>
      <c r="L32" s="606">
        <f t="shared" si="19"/>
        <v>3434.1699999999996</v>
      </c>
      <c r="M32" s="606">
        <f t="shared" si="20"/>
        <v>5098.1000000000004</v>
      </c>
      <c r="N32" s="606">
        <f t="shared" si="21"/>
        <v>3385.51</v>
      </c>
      <c r="O32" s="606">
        <f t="shared" si="22"/>
        <v>3569.7000000000003</v>
      </c>
      <c r="P32" s="605"/>
      <c r="Q32" s="604">
        <f t="shared" si="23"/>
        <v>48685.159999999996</v>
      </c>
      <c r="R32" s="576"/>
      <c r="S32" s="575">
        <v>14</v>
      </c>
      <c r="T32" s="756" t="s">
        <v>393</v>
      </c>
      <c r="U32" s="759">
        <v>-670.11</v>
      </c>
      <c r="V32" s="759">
        <v>-280.79000000000002</v>
      </c>
      <c r="W32" s="759">
        <v>-395.02</v>
      </c>
      <c r="X32" s="759">
        <v>-205.85</v>
      </c>
      <c r="Y32" s="759">
        <v>-477.47</v>
      </c>
      <c r="Z32" s="759">
        <v>-214.63</v>
      </c>
      <c r="AA32" s="759">
        <v>-530.47</v>
      </c>
      <c r="AB32" s="759">
        <v>-581.4</v>
      </c>
      <c r="AC32" s="759">
        <v>-577.65</v>
      </c>
      <c r="AD32" s="759">
        <v>-562.98</v>
      </c>
      <c r="AE32" s="759">
        <v>-504.32</v>
      </c>
      <c r="AF32" s="759">
        <v>-564.44000000000005</v>
      </c>
      <c r="AG32" s="760">
        <v>-5565.13</v>
      </c>
      <c r="AH32" s="756" t="s">
        <v>388</v>
      </c>
      <c r="AI32" s="760">
        <v>96.9</v>
      </c>
    </row>
    <row r="33" spans="1:35" ht="11.25" customHeight="1" x14ac:dyDescent="0.2">
      <c r="A33" s="575">
        <v>19</v>
      </c>
      <c r="B33" s="575"/>
      <c r="C33" s="606" t="s">
        <v>223</v>
      </c>
      <c r="D33" s="606">
        <f t="shared" si="11"/>
        <v>58.44</v>
      </c>
      <c r="E33" s="606">
        <f t="shared" si="12"/>
        <v>4308.4399999999996</v>
      </c>
      <c r="F33" s="606">
        <f t="shared" si="13"/>
        <v>6858.44</v>
      </c>
      <c r="G33" s="606">
        <f t="shared" si="14"/>
        <v>5558.63</v>
      </c>
      <c r="H33" s="606">
        <f t="shared" si="15"/>
        <v>59.02</v>
      </c>
      <c r="I33" s="606">
        <f t="shared" si="16"/>
        <v>6160</v>
      </c>
      <c r="J33" s="606">
        <f t="shared" si="17"/>
        <v>3160</v>
      </c>
      <c r="K33" s="606">
        <f t="shared" si="18"/>
        <v>3197.9</v>
      </c>
      <c r="L33" s="606">
        <f t="shared" si="19"/>
        <v>3160</v>
      </c>
      <c r="M33" s="606">
        <f t="shared" si="20"/>
        <v>3160</v>
      </c>
      <c r="N33" s="606">
        <f t="shared" si="21"/>
        <v>3160</v>
      </c>
      <c r="O33" s="606">
        <f t="shared" si="22"/>
        <v>3244.78</v>
      </c>
      <c r="P33" s="605"/>
      <c r="Q33" s="604">
        <f t="shared" si="23"/>
        <v>42085.65</v>
      </c>
      <c r="R33" s="576"/>
      <c r="S33" s="575">
        <v>12</v>
      </c>
      <c r="T33" s="756" t="s">
        <v>394</v>
      </c>
      <c r="U33" s="759">
        <v>209.45</v>
      </c>
      <c r="V33" s="759">
        <v>209.45</v>
      </c>
      <c r="W33" s="759">
        <v>206.5</v>
      </c>
      <c r="X33" s="759">
        <v>209.45</v>
      </c>
      <c r="Y33" s="759">
        <v>194.7</v>
      </c>
      <c r="Z33" s="759">
        <v>218.3</v>
      </c>
      <c r="AA33" s="759">
        <v>202.4</v>
      </c>
      <c r="AB33" s="759">
        <v>221.25</v>
      </c>
      <c r="AC33" s="759">
        <v>221.25</v>
      </c>
      <c r="AD33" s="759">
        <v>227.15</v>
      </c>
      <c r="AE33" s="759">
        <v>218.3</v>
      </c>
      <c r="AF33" s="759">
        <v>215.35</v>
      </c>
      <c r="AG33" s="760">
        <v>2553.5500000000002</v>
      </c>
      <c r="AH33" s="756" t="s">
        <v>387</v>
      </c>
      <c r="AI33" s="760">
        <v>0</v>
      </c>
    </row>
    <row r="34" spans="1:35" ht="11.25" customHeight="1" x14ac:dyDescent="0.2">
      <c r="A34" s="575">
        <v>20</v>
      </c>
      <c r="B34" s="575"/>
      <c r="C34" s="606" t="s">
        <v>222</v>
      </c>
      <c r="D34" s="606">
        <f t="shared" si="11"/>
        <v>583.67000000000007</v>
      </c>
      <c r="E34" s="606">
        <f t="shared" si="12"/>
        <v>303.02</v>
      </c>
      <c r="F34" s="606">
        <f t="shared" si="13"/>
        <v>760.81000000000006</v>
      </c>
      <c r="G34" s="606">
        <f t="shared" si="14"/>
        <v>786.44999999999993</v>
      </c>
      <c r="H34" s="606">
        <f t="shared" si="15"/>
        <v>0</v>
      </c>
      <c r="I34" s="606">
        <f t="shared" si="16"/>
        <v>253.79</v>
      </c>
      <c r="J34" s="606">
        <f t="shared" si="17"/>
        <v>857.86</v>
      </c>
      <c r="K34" s="606">
        <f t="shared" si="18"/>
        <v>383.61</v>
      </c>
      <c r="L34" s="606">
        <f t="shared" si="19"/>
        <v>233.8</v>
      </c>
      <c r="M34" s="606">
        <f t="shared" si="20"/>
        <v>1477.44</v>
      </c>
      <c r="N34" s="606">
        <f t="shared" si="21"/>
        <v>69.540000000000006</v>
      </c>
      <c r="O34" s="606">
        <f t="shared" si="22"/>
        <v>157.08000000000001</v>
      </c>
      <c r="P34" s="605"/>
      <c r="Q34" s="604">
        <f t="shared" si="23"/>
        <v>5867.0700000000006</v>
      </c>
      <c r="R34" s="576"/>
      <c r="S34" s="575">
        <v>7</v>
      </c>
      <c r="T34" s="756" t="s">
        <v>395</v>
      </c>
      <c r="U34" s="759">
        <v>4606.47</v>
      </c>
      <c r="V34" s="759">
        <v>5262.22</v>
      </c>
      <c r="W34" s="759">
        <v>5360.64</v>
      </c>
      <c r="X34" s="759">
        <v>3608.73</v>
      </c>
      <c r="Y34" s="759">
        <v>4803.04</v>
      </c>
      <c r="Z34" s="759">
        <v>4305.43</v>
      </c>
      <c r="AA34" s="759">
        <v>4921.82</v>
      </c>
      <c r="AB34" s="759">
        <v>5259.7</v>
      </c>
      <c r="AC34" s="759">
        <v>5764.51</v>
      </c>
      <c r="AD34" s="759">
        <v>5595.81</v>
      </c>
      <c r="AE34" s="759">
        <v>6882.88</v>
      </c>
      <c r="AF34" s="759">
        <v>6596.08</v>
      </c>
      <c r="AG34" s="760">
        <v>62967.33</v>
      </c>
      <c r="AH34" s="756" t="s">
        <v>391</v>
      </c>
      <c r="AI34" s="760">
        <v>-1428</v>
      </c>
    </row>
    <row r="35" spans="1:35" ht="11.25" customHeight="1" x14ac:dyDescent="0.2">
      <c r="A35" s="575">
        <v>21</v>
      </c>
      <c r="B35" s="575"/>
      <c r="C35" s="606" t="s">
        <v>205</v>
      </c>
      <c r="D35" s="606">
        <f t="shared" si="11"/>
        <v>302.2</v>
      </c>
      <c r="E35" s="606">
        <f t="shared" si="12"/>
        <v>354.54</v>
      </c>
      <c r="F35" s="606">
        <f t="shared" si="13"/>
        <v>466.82000000000005</v>
      </c>
      <c r="G35" s="606">
        <f t="shared" si="14"/>
        <v>282.28999999999996</v>
      </c>
      <c r="H35" s="606">
        <f t="shared" si="15"/>
        <v>488.88</v>
      </c>
      <c r="I35" s="606">
        <f t="shared" si="16"/>
        <v>555.59</v>
      </c>
      <c r="J35" s="606">
        <f t="shared" si="17"/>
        <v>683.29</v>
      </c>
      <c r="K35" s="606">
        <f t="shared" si="18"/>
        <v>498.48</v>
      </c>
      <c r="L35" s="606">
        <f t="shared" si="19"/>
        <v>1688.97</v>
      </c>
      <c r="M35" s="606">
        <f t="shared" si="20"/>
        <v>1076.06</v>
      </c>
      <c r="N35" s="606">
        <f t="shared" si="21"/>
        <v>957.44</v>
      </c>
      <c r="O35" s="606">
        <f t="shared" si="22"/>
        <v>354.43999999999994</v>
      </c>
      <c r="P35" s="605"/>
      <c r="Q35" s="604">
        <f t="shared" si="23"/>
        <v>7709.0000000000009</v>
      </c>
      <c r="R35" s="576"/>
      <c r="S35" s="575">
        <v>8</v>
      </c>
      <c r="T35" s="756" t="s">
        <v>396</v>
      </c>
      <c r="U35" s="761">
        <v>1264.2</v>
      </c>
      <c r="V35" s="761">
        <v>1261.74</v>
      </c>
      <c r="W35" s="761">
        <v>1255.94</v>
      </c>
      <c r="X35" s="761">
        <v>1254.0899999999999</v>
      </c>
      <c r="Y35" s="761">
        <v>1175.9100000000001</v>
      </c>
      <c r="Z35" s="761">
        <v>1318.49</v>
      </c>
      <c r="AA35" s="761">
        <v>1296</v>
      </c>
      <c r="AB35" s="761">
        <v>1333.2</v>
      </c>
      <c r="AC35" s="761">
        <v>1350</v>
      </c>
      <c r="AD35" s="761">
        <v>1381.92</v>
      </c>
      <c r="AE35" s="761">
        <v>1333.94</v>
      </c>
      <c r="AF35" s="761">
        <v>1302.58</v>
      </c>
      <c r="AG35" s="762">
        <v>15528.01</v>
      </c>
      <c r="AH35" s="756" t="s">
        <v>393</v>
      </c>
      <c r="AI35" s="762">
        <v>-5565.13</v>
      </c>
    </row>
    <row r="36" spans="1:35" ht="11.25" customHeight="1" x14ac:dyDescent="0.2">
      <c r="A36" s="575">
        <v>22</v>
      </c>
      <c r="B36" s="575"/>
      <c r="C36" s="606" t="s">
        <v>221</v>
      </c>
      <c r="D36" s="606">
        <f t="shared" si="11"/>
        <v>30.06</v>
      </c>
      <c r="E36" s="606">
        <f t="shared" si="12"/>
        <v>9.2799999999999994</v>
      </c>
      <c r="F36" s="606">
        <f t="shared" si="13"/>
        <v>0</v>
      </c>
      <c r="G36" s="606">
        <f t="shared" si="14"/>
        <v>0</v>
      </c>
      <c r="H36" s="606">
        <f t="shared" si="15"/>
        <v>104.8</v>
      </c>
      <c r="I36" s="606">
        <f t="shared" si="16"/>
        <v>143.32</v>
      </c>
      <c r="J36" s="606">
        <f t="shared" si="17"/>
        <v>151.53</v>
      </c>
      <c r="K36" s="606">
        <f t="shared" si="18"/>
        <v>18.32</v>
      </c>
      <c r="L36" s="606">
        <f t="shared" si="19"/>
        <v>17.8</v>
      </c>
      <c r="M36" s="606">
        <f t="shared" si="20"/>
        <v>0</v>
      </c>
      <c r="N36" s="606">
        <f t="shared" si="21"/>
        <v>105.97</v>
      </c>
      <c r="O36" s="606">
        <f t="shared" si="22"/>
        <v>-2.02</v>
      </c>
      <c r="P36" s="605"/>
      <c r="Q36" s="604">
        <f t="shared" si="23"/>
        <v>579.06000000000006</v>
      </c>
      <c r="R36" s="576"/>
      <c r="S36" s="575"/>
      <c r="T36" s="758" t="s">
        <v>397</v>
      </c>
      <c r="U36" s="760">
        <v>7809.37</v>
      </c>
      <c r="V36" s="760">
        <v>11147.27</v>
      </c>
      <c r="W36" s="760">
        <v>8569.6200000000008</v>
      </c>
      <c r="X36" s="760">
        <v>8385.01</v>
      </c>
      <c r="Y36" s="760">
        <v>7666.37</v>
      </c>
      <c r="Z36" s="760">
        <v>8308.6299999999992</v>
      </c>
      <c r="AA36" s="760">
        <v>11228.93</v>
      </c>
      <c r="AB36" s="760">
        <v>10694.53</v>
      </c>
      <c r="AC36" s="760">
        <v>9846.59</v>
      </c>
      <c r="AD36" s="760">
        <v>10449.31</v>
      </c>
      <c r="AE36" s="760">
        <v>11115.49</v>
      </c>
      <c r="AF36" s="760">
        <v>10589.52</v>
      </c>
      <c r="AG36" s="760">
        <v>115810.64</v>
      </c>
      <c r="AH36" s="707"/>
    </row>
    <row r="37" spans="1:35" ht="11.25" customHeight="1" x14ac:dyDescent="0.2">
      <c r="A37" s="575">
        <v>23</v>
      </c>
      <c r="B37" s="575"/>
      <c r="C37" s="606" t="s">
        <v>220</v>
      </c>
      <c r="D37" s="606">
        <f t="shared" si="11"/>
        <v>0</v>
      </c>
      <c r="E37" s="606">
        <f t="shared" si="12"/>
        <v>0</v>
      </c>
      <c r="F37" s="606">
        <f t="shared" si="13"/>
        <v>0</v>
      </c>
      <c r="G37" s="606">
        <f t="shared" si="14"/>
        <v>0</v>
      </c>
      <c r="H37" s="606">
        <f t="shared" si="15"/>
        <v>0</v>
      </c>
      <c r="I37" s="606">
        <f t="shared" si="16"/>
        <v>0</v>
      </c>
      <c r="J37" s="606">
        <f t="shared" si="17"/>
        <v>0</v>
      </c>
      <c r="K37" s="606">
        <f t="shared" si="18"/>
        <v>0</v>
      </c>
      <c r="L37" s="606">
        <f t="shared" si="19"/>
        <v>0</v>
      </c>
      <c r="M37" s="606">
        <f t="shared" si="20"/>
        <v>0</v>
      </c>
      <c r="N37" s="606">
        <f t="shared" si="21"/>
        <v>279</v>
      </c>
      <c r="O37" s="606">
        <f t="shared" si="22"/>
        <v>0</v>
      </c>
      <c r="P37" s="605"/>
      <c r="Q37" s="604">
        <f t="shared" si="23"/>
        <v>279</v>
      </c>
      <c r="R37" s="576"/>
      <c r="S37" s="575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 s="707"/>
    </row>
    <row r="38" spans="1:35" ht="11.25" customHeight="1" x14ac:dyDescent="0.2">
      <c r="A38" s="575">
        <v>24</v>
      </c>
      <c r="B38" s="575"/>
      <c r="C38" s="606" t="s">
        <v>357</v>
      </c>
      <c r="D38" s="606">
        <f t="shared" si="11"/>
        <v>10295.689999999999</v>
      </c>
      <c r="E38" s="606">
        <f t="shared" si="12"/>
        <v>9223.8199999999979</v>
      </c>
      <c r="F38" s="606">
        <f t="shared" si="13"/>
        <v>9182.84</v>
      </c>
      <c r="G38" s="606">
        <f t="shared" si="14"/>
        <v>10817.84</v>
      </c>
      <c r="H38" s="606">
        <f t="shared" si="15"/>
        <v>8983.5499999999993</v>
      </c>
      <c r="I38" s="606">
        <f t="shared" si="16"/>
        <v>9515.85</v>
      </c>
      <c r="J38" s="606">
        <f t="shared" si="17"/>
        <v>9683.99</v>
      </c>
      <c r="K38" s="606">
        <f t="shared" si="18"/>
        <v>10035.66</v>
      </c>
      <c r="L38" s="606">
        <f t="shared" si="19"/>
        <v>10296.91</v>
      </c>
      <c r="M38" s="606">
        <f t="shared" si="20"/>
        <v>10714.4</v>
      </c>
      <c r="N38" s="606">
        <f t="shared" si="21"/>
        <v>11062.19</v>
      </c>
      <c r="O38" s="606">
        <f t="shared" si="22"/>
        <v>10809.699999999999</v>
      </c>
      <c r="P38" s="605"/>
      <c r="Q38" s="604">
        <f t="shared" si="23"/>
        <v>120622.43999999999</v>
      </c>
      <c r="R38" s="576"/>
      <c r="S38" s="575"/>
      <c r="T38" s="758" t="s">
        <v>398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 s="708"/>
    </row>
    <row r="39" spans="1:35" ht="11.25" customHeight="1" x14ac:dyDescent="0.2">
      <c r="A39" s="575">
        <v>25</v>
      </c>
      <c r="B39" s="575"/>
      <c r="C39" s="606" t="s">
        <v>355</v>
      </c>
      <c r="D39" s="606">
        <f t="shared" si="11"/>
        <v>0</v>
      </c>
      <c r="E39" s="606">
        <f t="shared" si="12"/>
        <v>0</v>
      </c>
      <c r="F39" s="606">
        <f t="shared" si="13"/>
        <v>0</v>
      </c>
      <c r="G39" s="606">
        <f t="shared" si="14"/>
        <v>0</v>
      </c>
      <c r="H39" s="606">
        <f t="shared" si="15"/>
        <v>0</v>
      </c>
      <c r="I39" s="606">
        <f t="shared" si="16"/>
        <v>0</v>
      </c>
      <c r="J39" s="606">
        <f t="shared" si="17"/>
        <v>0</v>
      </c>
      <c r="K39" s="606">
        <f t="shared" si="18"/>
        <v>0</v>
      </c>
      <c r="L39" s="606">
        <f t="shared" si="19"/>
        <v>0</v>
      </c>
      <c r="M39" s="606">
        <f t="shared" si="20"/>
        <v>0</v>
      </c>
      <c r="N39" s="606">
        <f t="shared" si="21"/>
        <v>0</v>
      </c>
      <c r="O39" s="606">
        <f t="shared" si="22"/>
        <v>0</v>
      </c>
      <c r="P39" s="605"/>
      <c r="Q39" s="604">
        <f t="shared" si="23"/>
        <v>0</v>
      </c>
      <c r="R39" s="576"/>
      <c r="S39" s="575">
        <v>14</v>
      </c>
      <c r="T39" s="756" t="s">
        <v>399</v>
      </c>
      <c r="U39" s="759">
        <v>0</v>
      </c>
      <c r="V39" s="759">
        <v>0</v>
      </c>
      <c r="W39" s="759">
        <v>78.92</v>
      </c>
      <c r="X39" s="759">
        <v>0</v>
      </c>
      <c r="Y39" s="759">
        <v>0</v>
      </c>
      <c r="Z39" s="759">
        <v>0</v>
      </c>
      <c r="AA39" s="759">
        <v>0</v>
      </c>
      <c r="AB39" s="759">
        <v>0</v>
      </c>
      <c r="AC39" s="759">
        <v>0</v>
      </c>
      <c r="AD39" s="759">
        <v>0</v>
      </c>
      <c r="AE39" s="759">
        <v>0</v>
      </c>
      <c r="AF39" s="759">
        <v>0</v>
      </c>
      <c r="AG39" s="760">
        <v>78.92</v>
      </c>
      <c r="AH39" s="708"/>
    </row>
    <row r="40" spans="1:35" ht="11.25" customHeight="1" x14ac:dyDescent="0.25">
      <c r="A40" s="575">
        <v>26</v>
      </c>
      <c r="B40" s="575"/>
      <c r="C40" s="606" t="s">
        <v>358</v>
      </c>
      <c r="D40" s="606">
        <f t="shared" si="11"/>
        <v>0</v>
      </c>
      <c r="E40" s="606">
        <f t="shared" si="12"/>
        <v>0</v>
      </c>
      <c r="F40" s="606">
        <f t="shared" si="13"/>
        <v>0</v>
      </c>
      <c r="G40" s="606">
        <f t="shared" si="14"/>
        <v>0</v>
      </c>
      <c r="H40" s="606">
        <f t="shared" si="15"/>
        <v>0</v>
      </c>
      <c r="I40" s="606">
        <f t="shared" si="16"/>
        <v>0</v>
      </c>
      <c r="J40" s="606">
        <f t="shared" si="17"/>
        <v>0</v>
      </c>
      <c r="K40" s="606">
        <f t="shared" si="18"/>
        <v>0</v>
      </c>
      <c r="L40" s="606">
        <f t="shared" si="19"/>
        <v>0</v>
      </c>
      <c r="M40" s="606">
        <f t="shared" si="20"/>
        <v>0</v>
      </c>
      <c r="N40" s="606">
        <f t="shared" si="21"/>
        <v>0</v>
      </c>
      <c r="O40" s="606">
        <f t="shared" si="22"/>
        <v>0</v>
      </c>
      <c r="P40" s="605"/>
      <c r="Q40" s="604">
        <f t="shared" si="23"/>
        <v>0</v>
      </c>
      <c r="R40" s="576"/>
      <c r="S40" s="575">
        <v>4</v>
      </c>
      <c r="T40" s="756" t="s">
        <v>400</v>
      </c>
      <c r="U40" s="759">
        <v>-1144</v>
      </c>
      <c r="V40" s="759">
        <v>-1144</v>
      </c>
      <c r="W40" s="759">
        <v>-3033.42</v>
      </c>
      <c r="X40" s="759">
        <v>-694.57</v>
      </c>
      <c r="Y40" s="759">
        <v>-2414.6999999999998</v>
      </c>
      <c r="Z40" s="759">
        <v>-919.17</v>
      </c>
      <c r="AA40" s="759">
        <v>921.7</v>
      </c>
      <c r="AB40" s="759">
        <v>0</v>
      </c>
      <c r="AC40" s="759">
        <v>-2900</v>
      </c>
      <c r="AD40" s="759">
        <v>-38.5</v>
      </c>
      <c r="AE40" s="759">
        <v>-3306</v>
      </c>
      <c r="AF40" s="759">
        <v>-945</v>
      </c>
      <c r="AG40" s="760">
        <v>-15617.66</v>
      </c>
    </row>
    <row r="41" spans="1:35" ht="11.25" customHeight="1" x14ac:dyDescent="0.2">
      <c r="A41" s="575">
        <v>27</v>
      </c>
      <c r="B41" s="575"/>
      <c r="C41" s="606" t="s">
        <v>359</v>
      </c>
      <c r="D41" s="606">
        <f t="shared" si="11"/>
        <v>0</v>
      </c>
      <c r="E41" s="606">
        <f t="shared" si="12"/>
        <v>0</v>
      </c>
      <c r="F41" s="606">
        <f t="shared" si="13"/>
        <v>0</v>
      </c>
      <c r="G41" s="606">
        <f t="shared" si="14"/>
        <v>0</v>
      </c>
      <c r="H41" s="606">
        <f t="shared" si="15"/>
        <v>0</v>
      </c>
      <c r="I41" s="606">
        <f t="shared" si="16"/>
        <v>0</v>
      </c>
      <c r="J41" s="606">
        <f t="shared" si="17"/>
        <v>0</v>
      </c>
      <c r="K41" s="606">
        <f t="shared" si="18"/>
        <v>0</v>
      </c>
      <c r="L41" s="606">
        <f t="shared" si="19"/>
        <v>0</v>
      </c>
      <c r="M41" s="606">
        <f t="shared" si="20"/>
        <v>0</v>
      </c>
      <c r="N41" s="606">
        <f t="shared" si="21"/>
        <v>0</v>
      </c>
      <c r="O41" s="606">
        <f t="shared" si="22"/>
        <v>0</v>
      </c>
      <c r="P41" s="605"/>
      <c r="Q41" s="604">
        <f t="shared" si="23"/>
        <v>0</v>
      </c>
      <c r="R41" s="576"/>
      <c r="S41" s="575">
        <v>14</v>
      </c>
      <c r="T41" s="756" t="s">
        <v>401</v>
      </c>
      <c r="U41" s="759">
        <v>155.13</v>
      </c>
      <c r="V41" s="759">
        <v>0</v>
      </c>
      <c r="W41" s="759">
        <v>0</v>
      </c>
      <c r="X41" s="759">
        <v>0</v>
      </c>
      <c r="Y41" s="759">
        <v>0</v>
      </c>
      <c r="Z41" s="759">
        <v>0</v>
      </c>
      <c r="AA41" s="759">
        <v>0</v>
      </c>
      <c r="AB41" s="759">
        <v>0</v>
      </c>
      <c r="AC41" s="759">
        <v>0</v>
      </c>
      <c r="AD41" s="759">
        <v>0</v>
      </c>
      <c r="AE41" s="759">
        <v>0</v>
      </c>
      <c r="AF41" s="759">
        <v>0</v>
      </c>
      <c r="AG41" s="760">
        <v>155.13</v>
      </c>
      <c r="AH41" s="709"/>
      <c r="AI41" s="698"/>
    </row>
    <row r="42" spans="1:35" ht="11.25" customHeight="1" x14ac:dyDescent="0.2">
      <c r="A42" s="575">
        <v>28</v>
      </c>
      <c r="B42" s="575"/>
      <c r="C42" s="606" t="s">
        <v>165</v>
      </c>
      <c r="D42" s="606">
        <f t="shared" si="11"/>
        <v>0</v>
      </c>
      <c r="E42" s="606">
        <f t="shared" si="12"/>
        <v>0</v>
      </c>
      <c r="F42" s="606">
        <f t="shared" si="13"/>
        <v>0</v>
      </c>
      <c r="G42" s="606">
        <f t="shared" si="14"/>
        <v>0</v>
      </c>
      <c r="H42" s="606">
        <f t="shared" si="15"/>
        <v>0</v>
      </c>
      <c r="I42" s="606">
        <f t="shared" si="16"/>
        <v>0</v>
      </c>
      <c r="J42" s="606">
        <f t="shared" si="17"/>
        <v>0</v>
      </c>
      <c r="K42" s="606">
        <f t="shared" si="18"/>
        <v>0</v>
      </c>
      <c r="L42" s="606">
        <f t="shared" si="19"/>
        <v>0</v>
      </c>
      <c r="M42" s="606">
        <f t="shared" si="20"/>
        <v>0</v>
      </c>
      <c r="N42" s="606">
        <f t="shared" si="21"/>
        <v>0</v>
      </c>
      <c r="O42" s="606">
        <f t="shared" si="22"/>
        <v>0</v>
      </c>
      <c r="P42" s="605"/>
      <c r="Q42" s="604">
        <f t="shared" si="23"/>
        <v>0</v>
      </c>
      <c r="R42" s="576"/>
      <c r="S42" s="575">
        <v>14</v>
      </c>
      <c r="T42" s="756" t="s">
        <v>402</v>
      </c>
      <c r="U42" s="759">
        <v>0</v>
      </c>
      <c r="V42" s="759">
        <v>0</v>
      </c>
      <c r="W42" s="759">
        <v>0</v>
      </c>
      <c r="X42" s="759">
        <v>0</v>
      </c>
      <c r="Y42" s="759">
        <v>34.58</v>
      </c>
      <c r="Z42" s="759">
        <v>0</v>
      </c>
      <c r="AA42" s="759">
        <v>0</v>
      </c>
      <c r="AB42" s="759">
        <v>0</v>
      </c>
      <c r="AC42" s="759">
        <v>0</v>
      </c>
      <c r="AD42" s="759">
        <v>0</v>
      </c>
      <c r="AE42" s="759">
        <v>221.29</v>
      </c>
      <c r="AF42" s="759">
        <v>0</v>
      </c>
      <c r="AG42" s="760">
        <v>255.87</v>
      </c>
      <c r="AH42" s="709"/>
      <c r="AI42" s="698"/>
    </row>
    <row r="43" spans="1:35" ht="11.25" customHeight="1" x14ac:dyDescent="0.2">
      <c r="A43" s="575">
        <v>29</v>
      </c>
      <c r="B43" s="575"/>
      <c r="C43" s="606" t="s">
        <v>20</v>
      </c>
      <c r="D43" s="606">
        <f t="shared" si="11"/>
        <v>2535.7799999999997</v>
      </c>
      <c r="E43" s="606">
        <f t="shared" si="12"/>
        <v>2372.6999999999998</v>
      </c>
      <c r="F43" s="606">
        <f t="shared" si="13"/>
        <v>2299.7200000000003</v>
      </c>
      <c r="G43" s="606">
        <f t="shared" si="14"/>
        <v>2327.27</v>
      </c>
      <c r="H43" s="606">
        <f t="shared" si="15"/>
        <v>2281.83</v>
      </c>
      <c r="I43" s="606">
        <f t="shared" si="16"/>
        <v>2349.2799999999997</v>
      </c>
      <c r="J43" s="606">
        <f t="shared" si="17"/>
        <v>3883.52</v>
      </c>
      <c r="K43" s="606">
        <f t="shared" si="18"/>
        <v>3935.73</v>
      </c>
      <c r="L43" s="606">
        <f t="shared" si="19"/>
        <v>3881.3999999999996</v>
      </c>
      <c r="M43" s="606">
        <f t="shared" si="20"/>
        <v>3881.41</v>
      </c>
      <c r="N43" s="606">
        <f t="shared" si="21"/>
        <v>3881.35</v>
      </c>
      <c r="O43" s="606">
        <f t="shared" si="22"/>
        <v>4050.64</v>
      </c>
      <c r="P43" s="605"/>
      <c r="Q43" s="604">
        <f t="shared" si="23"/>
        <v>37680.629999999997</v>
      </c>
      <c r="R43" s="576"/>
      <c r="S43" s="575">
        <v>14</v>
      </c>
      <c r="T43" s="756" t="s">
        <v>403</v>
      </c>
      <c r="U43" s="759">
        <v>133.71</v>
      </c>
      <c r="V43" s="759">
        <v>0</v>
      </c>
      <c r="W43" s="759">
        <v>278.77</v>
      </c>
      <c r="X43" s="759">
        <v>320.97000000000003</v>
      </c>
      <c r="Y43" s="759">
        <v>0</v>
      </c>
      <c r="Z43" s="759">
        <v>-100</v>
      </c>
      <c r="AA43" s="759">
        <v>3000</v>
      </c>
      <c r="AB43" s="759">
        <v>0</v>
      </c>
      <c r="AC43" s="759">
        <v>0</v>
      </c>
      <c r="AD43" s="759">
        <v>-1160.76</v>
      </c>
      <c r="AE43" s="759">
        <v>940.1</v>
      </c>
      <c r="AF43" s="759">
        <v>0.01</v>
      </c>
      <c r="AG43" s="760">
        <v>3412.8</v>
      </c>
      <c r="AH43" s="709"/>
      <c r="AI43" s="698"/>
    </row>
    <row r="44" spans="1:35" ht="11.25" customHeight="1" x14ac:dyDescent="0.35">
      <c r="A44" s="575">
        <v>30</v>
      </c>
      <c r="B44" s="575"/>
      <c r="C44" s="603" t="s">
        <v>203</v>
      </c>
      <c r="D44" s="603">
        <f t="shared" si="11"/>
        <v>7382.67</v>
      </c>
      <c r="E44" s="603">
        <f t="shared" si="12"/>
        <v>7382.63</v>
      </c>
      <c r="F44" s="603">
        <f t="shared" si="13"/>
        <v>7910</v>
      </c>
      <c r="G44" s="603">
        <f t="shared" si="14"/>
        <v>7910</v>
      </c>
      <c r="H44" s="603">
        <f t="shared" si="15"/>
        <v>7910</v>
      </c>
      <c r="I44" s="603">
        <f t="shared" si="16"/>
        <v>7910</v>
      </c>
      <c r="J44" s="603">
        <f t="shared" si="17"/>
        <v>11772.8</v>
      </c>
      <c r="K44" s="603">
        <f t="shared" si="18"/>
        <v>7910</v>
      </c>
      <c r="L44" s="603">
        <f t="shared" si="19"/>
        <v>7910</v>
      </c>
      <c r="M44" s="603">
        <f t="shared" si="20"/>
        <v>-171.48</v>
      </c>
      <c r="N44" s="603">
        <f t="shared" si="21"/>
        <v>7382.67</v>
      </c>
      <c r="O44" s="603">
        <f t="shared" si="22"/>
        <v>7382.67</v>
      </c>
      <c r="P44" s="602"/>
      <c r="Q44" s="601">
        <f t="shared" si="23"/>
        <v>88591.96</v>
      </c>
      <c r="R44" s="576"/>
      <c r="S44" s="575"/>
      <c r="T44" s="758" t="s">
        <v>404</v>
      </c>
      <c r="U44" s="760">
        <v>-855.16</v>
      </c>
      <c r="V44" s="760">
        <v>-1144</v>
      </c>
      <c r="W44" s="760">
        <v>-2675.73</v>
      </c>
      <c r="X44" s="760">
        <v>-373.6</v>
      </c>
      <c r="Y44" s="760">
        <v>-2380.12</v>
      </c>
      <c r="Z44" s="760">
        <v>-1019.17</v>
      </c>
      <c r="AA44" s="760">
        <v>3921.7</v>
      </c>
      <c r="AB44" s="760">
        <v>0</v>
      </c>
      <c r="AC44" s="760">
        <v>-2900</v>
      </c>
      <c r="AD44" s="760">
        <v>-1199.26</v>
      </c>
      <c r="AE44" s="760">
        <v>-2144.61</v>
      </c>
      <c r="AF44" s="760">
        <v>-944.99</v>
      </c>
      <c r="AG44" s="760">
        <v>-11714.94</v>
      </c>
      <c r="AH44" s="709"/>
      <c r="AI44" s="698"/>
    </row>
    <row r="45" spans="1:35" ht="11.25" customHeight="1" x14ac:dyDescent="0.2">
      <c r="A45" s="575"/>
      <c r="B45" s="575" t="s">
        <v>219</v>
      </c>
      <c r="C45" s="600"/>
      <c r="D45" s="600">
        <f t="shared" ref="D45:O45" si="24">SUM(D29:D44)</f>
        <v>35630.22</v>
      </c>
      <c r="E45" s="600">
        <f t="shared" si="24"/>
        <v>42574.689999999988</v>
      </c>
      <c r="F45" s="600">
        <f t="shared" si="24"/>
        <v>45259.42</v>
      </c>
      <c r="G45" s="600">
        <f t="shared" si="24"/>
        <v>43408.26</v>
      </c>
      <c r="H45" s="600">
        <f t="shared" si="24"/>
        <v>35891.96</v>
      </c>
      <c r="I45" s="600">
        <f t="shared" si="24"/>
        <v>40702.57</v>
      </c>
      <c r="J45" s="600">
        <f t="shared" si="24"/>
        <v>45800.259999999995</v>
      </c>
      <c r="K45" s="600">
        <f t="shared" si="24"/>
        <v>41751.120000000003</v>
      </c>
      <c r="L45" s="600">
        <f t="shared" si="24"/>
        <v>41676.29</v>
      </c>
      <c r="M45" s="600">
        <f t="shared" si="24"/>
        <v>42683.529999999992</v>
      </c>
      <c r="N45" s="600">
        <f t="shared" si="24"/>
        <v>43012.149999999994</v>
      </c>
      <c r="O45" s="600">
        <f t="shared" si="24"/>
        <v>40964.189999999995</v>
      </c>
      <c r="P45" s="594"/>
      <c r="Q45" s="600">
        <f t="shared" si="23"/>
        <v>499354.66</v>
      </c>
      <c r="R45" s="576"/>
      <c r="S45" s="575"/>
      <c r="T45"/>
      <c r="U45" s="763"/>
      <c r="V45" s="763"/>
      <c r="W45" s="763"/>
      <c r="X45" s="763"/>
      <c r="Y45" s="763"/>
      <c r="Z45" s="763"/>
      <c r="AA45" s="763"/>
      <c r="AB45" s="763"/>
      <c r="AC45" s="763"/>
      <c r="AD45" s="763"/>
      <c r="AE45" s="763"/>
      <c r="AF45" s="763"/>
      <c r="AG45" s="763"/>
      <c r="AH45" s="709"/>
      <c r="AI45" s="698"/>
    </row>
    <row r="46" spans="1:35" ht="11.25" customHeight="1" x14ac:dyDescent="0.2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99"/>
      <c r="R46" s="576"/>
      <c r="S46" s="575"/>
      <c r="T46" s="756" t="s">
        <v>405</v>
      </c>
      <c r="U46" s="759">
        <v>74472.17</v>
      </c>
      <c r="V46" s="759">
        <v>77974.850000000006</v>
      </c>
      <c r="W46" s="759">
        <v>72657.58</v>
      </c>
      <c r="X46" s="759">
        <v>78781.649999999994</v>
      </c>
      <c r="Y46" s="759">
        <v>75487.89</v>
      </c>
      <c r="Z46" s="759">
        <v>76808.23</v>
      </c>
      <c r="AA46" s="759">
        <v>85603.43</v>
      </c>
      <c r="AB46" s="759">
        <v>82323.960000000006</v>
      </c>
      <c r="AC46" s="759">
        <v>79480.539999999994</v>
      </c>
      <c r="AD46" s="759">
        <v>82151.5</v>
      </c>
      <c r="AE46" s="759">
        <v>81874.94</v>
      </c>
      <c r="AF46" s="759">
        <v>82995.14</v>
      </c>
      <c r="AG46" s="760">
        <v>950611.88</v>
      </c>
      <c r="AH46" s="709"/>
      <c r="AI46" s="698"/>
    </row>
    <row r="47" spans="1:35" ht="11.25" customHeight="1" x14ac:dyDescent="0.2">
      <c r="A47" s="598"/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97"/>
      <c r="R47" s="576"/>
      <c r="S47" s="575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 s="709"/>
      <c r="AI47" s="698"/>
    </row>
    <row r="48" spans="1:35" ht="11.25" customHeight="1" x14ac:dyDescent="0.2">
      <c r="A48" s="596"/>
      <c r="B48" s="595" t="s">
        <v>202</v>
      </c>
      <c r="C48" s="594"/>
      <c r="D48" s="594">
        <f t="shared" ref="D48:O48" si="25">SUM(D26,-D45)</f>
        <v>38841.950000000012</v>
      </c>
      <c r="E48" s="594">
        <f t="shared" si="25"/>
        <v>35400.160000000018</v>
      </c>
      <c r="F48" s="594">
        <f t="shared" si="25"/>
        <v>27398.160000000003</v>
      </c>
      <c r="G48" s="594">
        <f t="shared" si="25"/>
        <v>35373.389999999992</v>
      </c>
      <c r="H48" s="594">
        <f t="shared" si="25"/>
        <v>39595.930000000015</v>
      </c>
      <c r="I48" s="594">
        <f t="shared" si="25"/>
        <v>36105.660000000011</v>
      </c>
      <c r="J48" s="594">
        <f t="shared" si="25"/>
        <v>39803.17</v>
      </c>
      <c r="K48" s="594">
        <f t="shared" si="25"/>
        <v>40572.840000000004</v>
      </c>
      <c r="L48" s="594">
        <f t="shared" si="25"/>
        <v>37804.249999999993</v>
      </c>
      <c r="M48" s="594">
        <f t="shared" si="25"/>
        <v>39467.970000000008</v>
      </c>
      <c r="N48" s="594">
        <f t="shared" si="25"/>
        <v>38862.790000000008</v>
      </c>
      <c r="O48" s="594">
        <f t="shared" si="25"/>
        <v>42030.950000000004</v>
      </c>
      <c r="P48" s="594"/>
      <c r="Q48" s="593">
        <f>SUM(Q26,-Q45)</f>
        <v>451257.22000000003</v>
      </c>
      <c r="R48" s="576"/>
      <c r="S48" s="575"/>
      <c r="T48" s="758" t="s">
        <v>406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 s="709"/>
      <c r="AI48" s="698"/>
    </row>
    <row r="49" spans="1:35" ht="11.25" customHeight="1" x14ac:dyDescent="0.2">
      <c r="A49" s="592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0"/>
      <c r="R49" s="576"/>
      <c r="S49" s="575"/>
      <c r="T49" s="758" t="s">
        <v>407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 s="709"/>
      <c r="AI49" s="698"/>
    </row>
    <row r="50" spans="1:35" ht="11.25" customHeight="1" x14ac:dyDescent="0.2">
      <c r="A50" s="575"/>
      <c r="B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6"/>
      <c r="S50" s="575">
        <v>16</v>
      </c>
      <c r="T50" s="756" t="s">
        <v>408</v>
      </c>
      <c r="U50" s="759">
        <v>0</v>
      </c>
      <c r="V50" s="759">
        <v>0</v>
      </c>
      <c r="W50" s="759">
        <v>0</v>
      </c>
      <c r="X50" s="759">
        <v>0</v>
      </c>
      <c r="Y50" s="759">
        <v>7.45</v>
      </c>
      <c r="Z50" s="759">
        <v>0</v>
      </c>
      <c r="AA50" s="759">
        <v>39.950000000000003</v>
      </c>
      <c r="AB50" s="759">
        <v>0</v>
      </c>
      <c r="AC50" s="759">
        <v>7</v>
      </c>
      <c r="AD50" s="759">
        <v>38.01</v>
      </c>
      <c r="AE50" s="759">
        <v>0</v>
      </c>
      <c r="AF50" s="759">
        <v>151.82</v>
      </c>
      <c r="AG50" s="760">
        <v>244.23</v>
      </c>
      <c r="AH50" s="709"/>
      <c r="AI50" s="698"/>
    </row>
    <row r="51" spans="1:35" ht="11.25" customHeight="1" thickBot="1" x14ac:dyDescent="0.25">
      <c r="A51" s="575"/>
      <c r="B51" s="575"/>
      <c r="C51" s="589" t="s">
        <v>218</v>
      </c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76"/>
      <c r="S51" s="575">
        <v>16</v>
      </c>
      <c r="T51" s="756" t="s">
        <v>409</v>
      </c>
      <c r="U51" s="759">
        <v>0</v>
      </c>
      <c r="V51" s="759">
        <v>1.31</v>
      </c>
      <c r="W51" s="759">
        <v>0</v>
      </c>
      <c r="X51" s="759">
        <v>0</v>
      </c>
      <c r="Y51" s="759">
        <v>0</v>
      </c>
      <c r="Z51" s="759">
        <v>0</v>
      </c>
      <c r="AA51" s="759">
        <v>0</v>
      </c>
      <c r="AB51" s="759">
        <v>0</v>
      </c>
      <c r="AC51" s="759">
        <v>0</v>
      </c>
      <c r="AD51" s="759">
        <v>0</v>
      </c>
      <c r="AE51" s="759">
        <v>0</v>
      </c>
      <c r="AF51" s="759">
        <v>0</v>
      </c>
      <c r="AG51" s="760">
        <v>1.31</v>
      </c>
      <c r="AH51" s="709"/>
      <c r="AI51" s="698"/>
    </row>
    <row r="52" spans="1:35" ht="11.25" customHeight="1" x14ac:dyDescent="0.2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6"/>
      <c r="S52" s="575">
        <v>16</v>
      </c>
      <c r="T52" s="756" t="s">
        <v>410</v>
      </c>
      <c r="U52" s="759">
        <v>737.12</v>
      </c>
      <c r="V52" s="759">
        <v>677.23</v>
      </c>
      <c r="W52" s="759">
        <v>84.54</v>
      </c>
      <c r="X52" s="759">
        <v>1350.1</v>
      </c>
      <c r="Y52" s="759">
        <v>777.28</v>
      </c>
      <c r="Z52" s="759">
        <v>973.03</v>
      </c>
      <c r="AA52" s="759">
        <v>822.84</v>
      </c>
      <c r="AB52" s="759">
        <v>789.5</v>
      </c>
      <c r="AC52" s="759">
        <v>668.45</v>
      </c>
      <c r="AD52" s="759">
        <v>939.05</v>
      </c>
      <c r="AE52" s="759">
        <v>692.75</v>
      </c>
      <c r="AF52" s="759">
        <v>543.03</v>
      </c>
      <c r="AG52" s="760">
        <v>9054.92</v>
      </c>
      <c r="AH52" s="709"/>
      <c r="AI52" s="698"/>
    </row>
    <row r="53" spans="1:35" ht="11.25" customHeight="1" thickBot="1" x14ac:dyDescent="0.25">
      <c r="A53" s="575"/>
      <c r="B53" s="575"/>
      <c r="C53" s="579" t="s">
        <v>217</v>
      </c>
      <c r="D53" s="579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6"/>
      <c r="R53" s="576"/>
      <c r="S53" s="575">
        <v>16</v>
      </c>
      <c r="T53" s="756" t="s">
        <v>411</v>
      </c>
      <c r="U53" s="759">
        <v>0</v>
      </c>
      <c r="V53" s="759">
        <v>0</v>
      </c>
      <c r="W53" s="759">
        <v>678</v>
      </c>
      <c r="X53" s="759">
        <v>0</v>
      </c>
      <c r="Y53" s="759">
        <v>0</v>
      </c>
      <c r="Z53" s="759">
        <v>55.9</v>
      </c>
      <c r="AA53" s="759">
        <v>40.5</v>
      </c>
      <c r="AB53" s="759">
        <v>0</v>
      </c>
      <c r="AC53" s="759">
        <v>0</v>
      </c>
      <c r="AD53" s="759">
        <v>0</v>
      </c>
      <c r="AE53" s="759">
        <v>0</v>
      </c>
      <c r="AF53" s="759">
        <v>75.59</v>
      </c>
      <c r="AG53" s="760">
        <v>849.99</v>
      </c>
      <c r="AH53" s="709"/>
      <c r="AI53" s="698"/>
    </row>
    <row r="54" spans="1:35" ht="11.25" customHeight="1" x14ac:dyDescent="0.2">
      <c r="A54" s="575"/>
      <c r="B54" s="575"/>
      <c r="C54" s="581" t="s">
        <v>216</v>
      </c>
      <c r="D54" s="585" t="s">
        <v>214</v>
      </c>
      <c r="E54" s="578">
        <f t="shared" ref="E54:O54" si="26">(E7-D7)/D7</f>
        <v>1.8657821477225611E-2</v>
      </c>
      <c r="F54" s="578">
        <f t="shared" si="26"/>
        <v>-1.1367019420862984E-2</v>
      </c>
      <c r="G54" s="578">
        <f t="shared" si="26"/>
        <v>5.2888661732885422E-2</v>
      </c>
      <c r="H54" s="578">
        <f t="shared" si="26"/>
        <v>-4.0289357185749997E-2</v>
      </c>
      <c r="I54" s="578">
        <f t="shared" si="26"/>
        <v>3.7542562789208693E-2</v>
      </c>
      <c r="J54" s="578">
        <f t="shared" si="26"/>
        <v>1.5918207062915486E-2</v>
      </c>
      <c r="K54" s="578">
        <f t="shared" si="26"/>
        <v>-6.1432693236881707E-3</v>
      </c>
      <c r="L54" s="578">
        <f t="shared" si="26"/>
        <v>4.4866096232914765E-2</v>
      </c>
      <c r="M54" s="578">
        <f t="shared" si="26"/>
        <v>-4.4534843529818405E-3</v>
      </c>
      <c r="N54" s="578">
        <f t="shared" si="26"/>
        <v>1.8761600811889913E-2</v>
      </c>
      <c r="O54" s="578">
        <f t="shared" si="26"/>
        <v>1.0486027368531432E-3</v>
      </c>
      <c r="P54" s="585"/>
      <c r="Q54" s="584">
        <f>(O7-D7)/D7</f>
        <v>0.13090090623704317</v>
      </c>
      <c r="R54" s="576"/>
      <c r="S54" s="575">
        <v>16</v>
      </c>
      <c r="T54" s="756" t="s">
        <v>412</v>
      </c>
      <c r="U54" s="759">
        <v>0</v>
      </c>
      <c r="V54" s="759">
        <v>0</v>
      </c>
      <c r="W54" s="759">
        <v>0</v>
      </c>
      <c r="X54" s="759">
        <v>0</v>
      </c>
      <c r="Y54" s="759">
        <v>0</v>
      </c>
      <c r="Z54" s="759">
        <v>110.23</v>
      </c>
      <c r="AA54" s="759">
        <v>0</v>
      </c>
      <c r="AB54" s="759">
        <v>0</v>
      </c>
      <c r="AC54" s="759">
        <v>0</v>
      </c>
      <c r="AD54" s="759">
        <v>0</v>
      </c>
      <c r="AE54" s="759">
        <v>0</v>
      </c>
      <c r="AF54" s="759">
        <v>0</v>
      </c>
      <c r="AG54" s="760">
        <v>110.23</v>
      </c>
      <c r="AH54" s="709"/>
      <c r="AI54" s="698"/>
    </row>
    <row r="55" spans="1:35" ht="11.25" customHeight="1" thickBot="1" x14ac:dyDescent="0.25">
      <c r="A55" s="575"/>
      <c r="B55" s="575"/>
      <c r="C55" s="581" t="s">
        <v>215</v>
      </c>
      <c r="D55" s="585" t="s">
        <v>214</v>
      </c>
      <c r="E55" s="578">
        <f t="shared" ref="E55:O55" si="27">(E9-D9)/D9</f>
        <v>5.9228097926952925E-3</v>
      </c>
      <c r="F55" s="578">
        <f t="shared" si="27"/>
        <v>-4.3555322589242159E-3</v>
      </c>
      <c r="G55" s="578">
        <f t="shared" si="27"/>
        <v>8.480918908428144E-3</v>
      </c>
      <c r="H55" s="578">
        <f t="shared" si="27"/>
        <v>2.8297436640453274E-3</v>
      </c>
      <c r="I55" s="578">
        <f t="shared" si="27"/>
        <v>-5.2690845082851133E-4</v>
      </c>
      <c r="J55" s="578">
        <f t="shared" si="27"/>
        <v>2.2029542843190627E-3</v>
      </c>
      <c r="K55" s="578">
        <f t="shared" si="27"/>
        <v>7.1195374592216334E-3</v>
      </c>
      <c r="L55" s="578">
        <f t="shared" si="27"/>
        <v>7.2996142130314018E-3</v>
      </c>
      <c r="M55" s="578">
        <f t="shared" si="27"/>
        <v>3.3580588596411453E-3</v>
      </c>
      <c r="N55" s="578">
        <f t="shared" si="27"/>
        <v>1.6418916077594971E-2</v>
      </c>
      <c r="O55" s="578">
        <f t="shared" si="27"/>
        <v>7.1724410963474976E-3</v>
      </c>
      <c r="P55" s="585"/>
      <c r="Q55" s="577">
        <f>(O9-D9)/D9</f>
        <v>5.7213798003350511E-2</v>
      </c>
      <c r="R55" s="576"/>
      <c r="S55" s="575">
        <v>16</v>
      </c>
      <c r="T55" s="756" t="s">
        <v>413</v>
      </c>
      <c r="U55" s="759">
        <v>134.5</v>
      </c>
      <c r="V55" s="759">
        <v>134.5</v>
      </c>
      <c r="W55" s="759">
        <v>108.15</v>
      </c>
      <c r="X55" s="759">
        <v>23.62</v>
      </c>
      <c r="Y55" s="759">
        <v>20.86</v>
      </c>
      <c r="Z55" s="759">
        <v>107.23</v>
      </c>
      <c r="AA55" s="759">
        <v>107.23</v>
      </c>
      <c r="AB55" s="759">
        <v>22.7</v>
      </c>
      <c r="AC55" s="759">
        <v>22.7</v>
      </c>
      <c r="AD55" s="759">
        <v>22.7</v>
      </c>
      <c r="AE55" s="759">
        <v>22.7</v>
      </c>
      <c r="AF55" s="759">
        <v>22.7</v>
      </c>
      <c r="AG55" s="760">
        <v>749.59</v>
      </c>
      <c r="AH55" s="709"/>
      <c r="AI55" s="698"/>
    </row>
    <row r="56" spans="1:35" ht="11.25" customHeight="1" x14ac:dyDescent="0.2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6"/>
      <c r="S56" s="575">
        <v>16</v>
      </c>
      <c r="T56" s="756" t="s">
        <v>414</v>
      </c>
      <c r="U56" s="759">
        <v>0</v>
      </c>
      <c r="V56" s="759">
        <v>0</v>
      </c>
      <c r="W56" s="759">
        <v>95.02</v>
      </c>
      <c r="X56" s="759">
        <v>0</v>
      </c>
      <c r="Y56" s="759">
        <v>0</v>
      </c>
      <c r="Z56" s="759">
        <v>0</v>
      </c>
      <c r="AA56" s="759">
        <v>0</v>
      </c>
      <c r="AB56" s="759">
        <v>0</v>
      </c>
      <c r="AC56" s="759">
        <v>0</v>
      </c>
      <c r="AD56" s="759">
        <v>84</v>
      </c>
      <c r="AE56" s="759">
        <v>0</v>
      </c>
      <c r="AF56" s="759">
        <v>0</v>
      </c>
      <c r="AG56" s="760">
        <v>179.02</v>
      </c>
      <c r="AH56" s="707"/>
    </row>
    <row r="57" spans="1:35" ht="11.25" customHeight="1" thickBot="1" x14ac:dyDescent="0.3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6"/>
      <c r="S57" s="575">
        <v>16</v>
      </c>
      <c r="T57" s="756" t="s">
        <v>415</v>
      </c>
      <c r="U57" s="761">
        <v>0</v>
      </c>
      <c r="V57" s="761">
        <v>0</v>
      </c>
      <c r="W57" s="761">
        <v>0</v>
      </c>
      <c r="X57" s="761">
        <v>0</v>
      </c>
      <c r="Y57" s="761">
        <v>87.59</v>
      </c>
      <c r="Z57" s="761">
        <v>0</v>
      </c>
      <c r="AA57" s="761">
        <v>0</v>
      </c>
      <c r="AB57" s="761">
        <v>0</v>
      </c>
      <c r="AC57" s="761">
        <v>0</v>
      </c>
      <c r="AD57" s="761">
        <v>0</v>
      </c>
      <c r="AE57" s="761">
        <v>0</v>
      </c>
      <c r="AF57" s="761">
        <v>0</v>
      </c>
      <c r="AG57" s="762">
        <v>87.59</v>
      </c>
    </row>
    <row r="58" spans="1:35" ht="11.25" customHeight="1" x14ac:dyDescent="0.2">
      <c r="A58" s="575"/>
      <c r="B58" s="575"/>
      <c r="C58" s="579" t="s">
        <v>213</v>
      </c>
      <c r="D58" s="578">
        <f t="shared" ref="D58:O58" si="28">-D8/D7</f>
        <v>-6.0430166439613811E-2</v>
      </c>
      <c r="E58" s="578">
        <f t="shared" si="28"/>
        <v>-4.7172927084544715E-2</v>
      </c>
      <c r="F58" s="578">
        <f t="shared" si="28"/>
        <v>-5.4599585590598104E-2</v>
      </c>
      <c r="G58" s="578">
        <f t="shared" si="28"/>
        <v>-1.0119681036770148E-2</v>
      </c>
      <c r="H58" s="578">
        <f t="shared" si="28"/>
        <v>-5.5503623293850592E-2</v>
      </c>
      <c r="I58" s="578">
        <f t="shared" si="28"/>
        <v>-1.6775125522425736E-2</v>
      </c>
      <c r="J58" s="578">
        <f t="shared" si="28"/>
        <v>-3.0483040435136739E-3</v>
      </c>
      <c r="K58" s="578">
        <f t="shared" si="28"/>
        <v>-1.6433770418935435E-2</v>
      </c>
      <c r="L58" s="578">
        <f t="shared" si="28"/>
        <v>2.0110472999920238E-2</v>
      </c>
      <c r="M58" s="578">
        <f t="shared" si="28"/>
        <v>1.2421782151775342E-2</v>
      </c>
      <c r="N58" s="578">
        <f t="shared" si="28"/>
        <v>1.469275939810203E-2</v>
      </c>
      <c r="O58" s="578">
        <f t="shared" si="28"/>
        <v>8.665217619022678E-3</v>
      </c>
      <c r="P58" s="578"/>
      <c r="Q58" s="584">
        <f>-Q8/Q7</f>
        <v>-1.6164518978852571E-2</v>
      </c>
      <c r="R58" s="576"/>
      <c r="S58" s="575"/>
      <c r="T58" s="758" t="s">
        <v>416</v>
      </c>
      <c r="U58" s="760">
        <v>871.62</v>
      </c>
      <c r="V58" s="760">
        <v>813.04</v>
      </c>
      <c r="W58" s="760">
        <v>965.71</v>
      </c>
      <c r="X58" s="760">
        <v>1373.72</v>
      </c>
      <c r="Y58" s="760">
        <v>893.18</v>
      </c>
      <c r="Z58" s="760">
        <v>1246.3900000000001</v>
      </c>
      <c r="AA58" s="760">
        <v>1010.52</v>
      </c>
      <c r="AB58" s="760">
        <v>812.2</v>
      </c>
      <c r="AC58" s="760">
        <v>698.15</v>
      </c>
      <c r="AD58" s="760">
        <v>1083.76</v>
      </c>
      <c r="AE58" s="760">
        <v>715.45</v>
      </c>
      <c r="AF58" s="760">
        <v>793.14</v>
      </c>
      <c r="AG58" s="760">
        <v>11276.88</v>
      </c>
      <c r="AH58" s="707"/>
    </row>
    <row r="59" spans="1:35" ht="11.25" customHeight="1" x14ac:dyDescent="0.25">
      <c r="A59" s="575"/>
      <c r="B59" s="575"/>
      <c r="C59" s="583" t="s">
        <v>212</v>
      </c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82"/>
      <c r="R59" s="576"/>
      <c r="S59" s="575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5" ht="11.25" customHeight="1" x14ac:dyDescent="0.2">
      <c r="A60" s="575"/>
      <c r="B60" s="575"/>
      <c r="C60" s="581" t="s">
        <v>211</v>
      </c>
      <c r="D60" s="578">
        <f>-D10/D$9</f>
        <v>4.7547392602206001E-2</v>
      </c>
      <c r="E60" s="578">
        <f t="shared" ref="E60:O60" si="29">-E10/E9</f>
        <v>4.6858341921498251E-2</v>
      </c>
      <c r="F60" s="578">
        <f t="shared" si="29"/>
        <v>5.9529698552884307E-2</v>
      </c>
      <c r="G60" s="578">
        <f t="shared" si="29"/>
        <v>1.2047286636940624E-2</v>
      </c>
      <c r="H60" s="578">
        <f t="shared" si="29"/>
        <v>2.2673882546012811E-2</v>
      </c>
      <c r="I60" s="578">
        <f t="shared" si="29"/>
        <v>3.1577793073197774E-2</v>
      </c>
      <c r="J60" s="578">
        <f t="shared" si="29"/>
        <v>2.0851302839983755E-2</v>
      </c>
      <c r="K60" s="578">
        <f t="shared" si="29"/>
        <v>1.1693458567190203E-2</v>
      </c>
      <c r="L60" s="578">
        <f t="shared" si="29"/>
        <v>6.5839769092752949E-3</v>
      </c>
      <c r="M60" s="578">
        <f t="shared" si="29"/>
        <v>4.9396424424701076E-3</v>
      </c>
      <c r="N60" s="578">
        <f t="shared" si="29"/>
        <v>2.0978818178165905E-2</v>
      </c>
      <c r="O60" s="578">
        <f t="shared" si="29"/>
        <v>2.2052637015187643E-2</v>
      </c>
      <c r="P60" s="578"/>
      <c r="Q60" s="580">
        <f>-Q10/Q9</f>
        <v>2.5450961243922321E-2</v>
      </c>
      <c r="R60" s="576"/>
      <c r="S60" s="575"/>
      <c r="T60" s="758" t="s">
        <v>417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 s="707"/>
    </row>
    <row r="61" spans="1:35" ht="11.25" customHeight="1" x14ac:dyDescent="0.2">
      <c r="A61" s="575"/>
      <c r="B61" s="575"/>
      <c r="C61" s="581" t="s">
        <v>210</v>
      </c>
      <c r="D61" s="578">
        <f>-D11/D$9</f>
        <v>1.5974759879390562E-2</v>
      </c>
      <c r="E61" s="578">
        <f t="shared" ref="E61:O61" si="30">-E11/E$9</f>
        <v>1.5880701505001867E-2</v>
      </c>
      <c r="F61" s="578">
        <f t="shared" si="30"/>
        <v>4.2293333720004198E-2</v>
      </c>
      <c r="G61" s="578">
        <f t="shared" si="30"/>
        <v>9.6025750280236983E-3</v>
      </c>
      <c r="H61" s="578">
        <f t="shared" si="30"/>
        <v>3.3289529989941585E-2</v>
      </c>
      <c r="I61" s="578">
        <f t="shared" si="30"/>
        <v>1.2678539161715961E-2</v>
      </c>
      <c r="J61" s="578">
        <f t="shared" si="30"/>
        <v>-1.2685491071090639E-2</v>
      </c>
      <c r="K61" s="578">
        <f t="shared" si="30"/>
        <v>0</v>
      </c>
      <c r="L61" s="578">
        <f t="shared" si="30"/>
        <v>3.9343772999996605E-2</v>
      </c>
      <c r="M61" s="578">
        <f t="shared" si="30"/>
        <v>5.2057438419768733E-4</v>
      </c>
      <c r="N61" s="578">
        <f t="shared" si="30"/>
        <v>4.3979691120492381E-2</v>
      </c>
      <c r="O61" s="578">
        <f t="shared" si="30"/>
        <v>1.2481802324705964E-2</v>
      </c>
      <c r="P61" s="578"/>
      <c r="Q61" s="580">
        <f>-Q11/Q$9</f>
        <v>1.7805619511097069E-2</v>
      </c>
      <c r="R61" s="576"/>
      <c r="S61" s="575">
        <v>17</v>
      </c>
      <c r="T61" s="756" t="s">
        <v>418</v>
      </c>
      <c r="U61" s="759">
        <v>3.45</v>
      </c>
      <c r="V61" s="759">
        <v>0</v>
      </c>
      <c r="W61" s="759">
        <v>0</v>
      </c>
      <c r="X61" s="759">
        <v>144.22</v>
      </c>
      <c r="Y61" s="759">
        <v>59.8</v>
      </c>
      <c r="Z61" s="759">
        <v>54.14</v>
      </c>
      <c r="AA61" s="759">
        <v>9.01</v>
      </c>
      <c r="AB61" s="759">
        <v>33.29</v>
      </c>
      <c r="AC61" s="759">
        <v>56.39</v>
      </c>
      <c r="AD61" s="759">
        <v>352.56</v>
      </c>
      <c r="AE61" s="759">
        <v>5.95</v>
      </c>
      <c r="AF61" s="759">
        <v>49.29</v>
      </c>
      <c r="AG61" s="760">
        <v>768.1</v>
      </c>
      <c r="AH61" s="710"/>
    </row>
    <row r="62" spans="1:35" ht="11.25" customHeight="1" x14ac:dyDescent="0.2">
      <c r="A62" s="575"/>
      <c r="B62" s="575"/>
      <c r="C62" s="581" t="s">
        <v>209</v>
      </c>
      <c r="D62" s="578">
        <f>-D12/D$9</f>
        <v>9.6351261510310218E-3</v>
      </c>
      <c r="E62" s="578">
        <f t="shared" ref="E62:O62" si="31">-E12/E$9</f>
        <v>9.5783951385063713E-3</v>
      </c>
      <c r="F62" s="578">
        <f t="shared" si="31"/>
        <v>9.6202966509098282E-3</v>
      </c>
      <c r="G62" s="578">
        <f t="shared" si="31"/>
        <v>9.5393938254407055E-3</v>
      </c>
      <c r="H62" s="578">
        <f t="shared" si="31"/>
        <v>9.5124759568723637E-3</v>
      </c>
      <c r="I62" s="578">
        <f t="shared" si="31"/>
        <v>9.5174908032072559E-3</v>
      </c>
      <c r="J62" s="578">
        <f t="shared" si="31"/>
        <v>9.4965702929939669E-3</v>
      </c>
      <c r="K62" s="578">
        <f t="shared" si="31"/>
        <v>9.4294370626073609E-3</v>
      </c>
      <c r="L62" s="578">
        <f t="shared" si="31"/>
        <v>9.3611046103440204E-3</v>
      </c>
      <c r="M62" s="578">
        <f t="shared" si="31"/>
        <v>9.3297746778286828E-3</v>
      </c>
      <c r="N62" s="578">
        <f t="shared" si="31"/>
        <v>9.1790643899394269E-3</v>
      </c>
      <c r="O62" s="578">
        <f t="shared" si="31"/>
        <v>9.1136969354995937E-3</v>
      </c>
      <c r="P62" s="578"/>
      <c r="Q62" s="580">
        <f>-Q12/Q$9</f>
        <v>9.4399884202808707E-3</v>
      </c>
      <c r="R62" s="576"/>
      <c r="S62" s="575">
        <v>17</v>
      </c>
      <c r="T62" s="756" t="s">
        <v>419</v>
      </c>
      <c r="U62" s="759">
        <v>37.380000000000003</v>
      </c>
      <c r="V62" s="759">
        <v>37.380000000000003</v>
      </c>
      <c r="W62" s="759">
        <v>37.380000000000003</v>
      </c>
      <c r="X62" s="759">
        <v>37.380000000000003</v>
      </c>
      <c r="Y62" s="759">
        <v>53.33</v>
      </c>
      <c r="Z62" s="759">
        <v>115.02</v>
      </c>
      <c r="AA62" s="759">
        <v>37.380000000000003</v>
      </c>
      <c r="AB62" s="759">
        <v>37.380000000000003</v>
      </c>
      <c r="AC62" s="759">
        <v>37.380000000000003</v>
      </c>
      <c r="AD62" s="759">
        <v>37.380000000000003</v>
      </c>
      <c r="AE62" s="759">
        <v>37.380000000000003</v>
      </c>
      <c r="AF62" s="759">
        <v>37.380000000000003</v>
      </c>
      <c r="AG62" s="760">
        <v>542.15</v>
      </c>
      <c r="AH62" s="707"/>
    </row>
    <row r="63" spans="1:35" ht="11.25" customHeight="1" x14ac:dyDescent="0.2">
      <c r="A63" s="575"/>
      <c r="B63" s="575"/>
      <c r="C63" s="579" t="s">
        <v>208</v>
      </c>
      <c r="D63" s="578">
        <f t="shared" ref="D63:O63" si="32">SUM(D60:D62)</f>
        <v>7.3157278632627581E-2</v>
      </c>
      <c r="E63" s="578">
        <f t="shared" si="32"/>
        <v>7.2317438565006498E-2</v>
      </c>
      <c r="F63" s="578">
        <f t="shared" si="32"/>
        <v>0.11144332892379832</v>
      </c>
      <c r="G63" s="578">
        <f t="shared" si="32"/>
        <v>3.1189255490405028E-2</v>
      </c>
      <c r="H63" s="578">
        <f t="shared" si="32"/>
        <v>6.5475888492826761E-2</v>
      </c>
      <c r="I63" s="578">
        <f t="shared" si="32"/>
        <v>5.3773823038120991E-2</v>
      </c>
      <c r="J63" s="578">
        <f t="shared" si="32"/>
        <v>1.7662382061887083E-2</v>
      </c>
      <c r="K63" s="578">
        <f t="shared" si="32"/>
        <v>2.1122895629797564E-2</v>
      </c>
      <c r="L63" s="578">
        <f t="shared" si="32"/>
        <v>5.5288854519615918E-2</v>
      </c>
      <c r="M63" s="578">
        <f t="shared" si="32"/>
        <v>1.4789991504496478E-2</v>
      </c>
      <c r="N63" s="578">
        <f t="shared" si="32"/>
        <v>7.4137573688597719E-2</v>
      </c>
      <c r="O63" s="578">
        <f t="shared" si="32"/>
        <v>4.3648136275393198E-2</v>
      </c>
      <c r="P63" s="578"/>
      <c r="Q63" s="580">
        <f>SUM(Q60:Q62)</f>
        <v>5.2696569175300259E-2</v>
      </c>
      <c r="R63" s="576"/>
      <c r="S63" s="575">
        <v>15</v>
      </c>
      <c r="T63" s="756" t="s">
        <v>420</v>
      </c>
      <c r="U63" s="759">
        <v>0</v>
      </c>
      <c r="V63" s="759">
        <v>0</v>
      </c>
      <c r="W63" s="759">
        <v>0</v>
      </c>
      <c r="X63" s="759">
        <v>0</v>
      </c>
      <c r="Y63" s="759">
        <v>0</v>
      </c>
      <c r="Z63" s="759">
        <v>0</v>
      </c>
      <c r="AA63" s="759">
        <v>601.5</v>
      </c>
      <c r="AB63" s="759">
        <v>40.590000000000003</v>
      </c>
      <c r="AC63" s="759">
        <v>0</v>
      </c>
      <c r="AD63" s="759">
        <v>0</v>
      </c>
      <c r="AE63" s="759">
        <v>0</v>
      </c>
      <c r="AF63" s="759">
        <v>0</v>
      </c>
      <c r="AG63" s="760">
        <v>642.09</v>
      </c>
      <c r="AH63" s="710"/>
    </row>
    <row r="64" spans="1:35" ht="11.25" customHeight="1" x14ac:dyDescent="0.2">
      <c r="A64" s="575"/>
      <c r="B64" s="575"/>
      <c r="C64" s="581" t="s">
        <v>207</v>
      </c>
      <c r="D64" s="578">
        <f t="shared" ref="D64:O64" si="33">D13/D$9</f>
        <v>0</v>
      </c>
      <c r="E64" s="578">
        <f t="shared" si="33"/>
        <v>0</v>
      </c>
      <c r="F64" s="578">
        <f t="shared" si="33"/>
        <v>0</v>
      </c>
      <c r="G64" s="578">
        <f t="shared" si="33"/>
        <v>0</v>
      </c>
      <c r="H64" s="578">
        <f t="shared" si="33"/>
        <v>0</v>
      </c>
      <c r="I64" s="578">
        <f t="shared" si="33"/>
        <v>0</v>
      </c>
      <c r="J64" s="578">
        <f t="shared" si="33"/>
        <v>0</v>
      </c>
      <c r="K64" s="578">
        <f t="shared" si="33"/>
        <v>0</v>
      </c>
      <c r="L64" s="578">
        <f t="shared" si="33"/>
        <v>0</v>
      </c>
      <c r="M64" s="578">
        <f t="shared" si="33"/>
        <v>0</v>
      </c>
      <c r="N64" s="578">
        <f t="shared" si="33"/>
        <v>0</v>
      </c>
      <c r="O64" s="578">
        <f t="shared" si="33"/>
        <v>0</v>
      </c>
      <c r="P64" s="578"/>
      <c r="Q64" s="580">
        <f>Q13/Q$9</f>
        <v>0</v>
      </c>
      <c r="R64" s="576"/>
      <c r="S64" s="575">
        <v>17</v>
      </c>
      <c r="T64" s="756" t="s">
        <v>421</v>
      </c>
      <c r="U64" s="759">
        <v>861.09</v>
      </c>
      <c r="V64" s="759">
        <v>101.64</v>
      </c>
      <c r="W64" s="759">
        <v>104.38</v>
      </c>
      <c r="X64" s="759">
        <v>187.9</v>
      </c>
      <c r="Y64" s="759">
        <v>0</v>
      </c>
      <c r="Z64" s="759">
        <v>489.26</v>
      </c>
      <c r="AA64" s="759">
        <v>-66.36</v>
      </c>
      <c r="AB64" s="759">
        <v>88.87</v>
      </c>
      <c r="AC64" s="759">
        <v>0</v>
      </c>
      <c r="AD64" s="759">
        <v>1242.6199999999999</v>
      </c>
      <c r="AE64" s="759">
        <v>676.62</v>
      </c>
      <c r="AF64" s="759">
        <v>340.55</v>
      </c>
      <c r="AG64" s="760">
        <v>4026.57</v>
      </c>
      <c r="AH64" s="707"/>
    </row>
    <row r="65" spans="1:34" ht="11.25" customHeight="1" thickBot="1" x14ac:dyDescent="0.25">
      <c r="A65" s="575"/>
      <c r="B65" s="575"/>
      <c r="C65" s="579" t="s">
        <v>206</v>
      </c>
      <c r="D65" s="578">
        <f t="shared" ref="D65:O65" si="34">SUM(D63:D64)</f>
        <v>7.3157278632627581E-2</v>
      </c>
      <c r="E65" s="578">
        <f t="shared" si="34"/>
        <v>7.2317438565006498E-2</v>
      </c>
      <c r="F65" s="578">
        <f t="shared" si="34"/>
        <v>0.11144332892379832</v>
      </c>
      <c r="G65" s="578">
        <f t="shared" si="34"/>
        <v>3.1189255490405028E-2</v>
      </c>
      <c r="H65" s="578">
        <f t="shared" si="34"/>
        <v>6.5475888492826761E-2</v>
      </c>
      <c r="I65" s="578">
        <f t="shared" si="34"/>
        <v>5.3773823038120991E-2</v>
      </c>
      <c r="J65" s="578">
        <f t="shared" si="34"/>
        <v>1.7662382061887083E-2</v>
      </c>
      <c r="K65" s="578">
        <f t="shared" si="34"/>
        <v>2.1122895629797564E-2</v>
      </c>
      <c r="L65" s="578">
        <f t="shared" si="34"/>
        <v>5.5288854519615918E-2</v>
      </c>
      <c r="M65" s="578">
        <f t="shared" si="34"/>
        <v>1.4789991504496478E-2</v>
      </c>
      <c r="N65" s="578">
        <f t="shared" si="34"/>
        <v>7.4137573688597719E-2</v>
      </c>
      <c r="O65" s="578">
        <f t="shared" si="34"/>
        <v>4.3648136275393198E-2</v>
      </c>
      <c r="P65" s="578"/>
      <c r="Q65" s="577">
        <f>SUM(Q63:Q64)</f>
        <v>5.2696569175300259E-2</v>
      </c>
      <c r="R65" s="576"/>
      <c r="S65" s="575">
        <v>17</v>
      </c>
      <c r="T65" s="756" t="s">
        <v>422</v>
      </c>
      <c r="U65" s="759">
        <v>0</v>
      </c>
      <c r="V65" s="759">
        <v>0</v>
      </c>
      <c r="W65" s="759">
        <v>0</v>
      </c>
      <c r="X65" s="759">
        <v>0</v>
      </c>
      <c r="Y65" s="759">
        <v>0</v>
      </c>
      <c r="Z65" s="759">
        <v>23.02</v>
      </c>
      <c r="AA65" s="759">
        <v>0</v>
      </c>
      <c r="AB65" s="759">
        <v>0</v>
      </c>
      <c r="AC65" s="759">
        <v>0</v>
      </c>
      <c r="AD65" s="759">
        <v>0</v>
      </c>
      <c r="AE65" s="759">
        <v>0</v>
      </c>
      <c r="AF65" s="759">
        <v>0</v>
      </c>
      <c r="AG65" s="760">
        <v>23.02</v>
      </c>
      <c r="AH65" s="707"/>
    </row>
    <row r="66" spans="1:34" ht="11.25" customHeight="1" x14ac:dyDescent="0.25">
      <c r="A66" s="575"/>
      <c r="B66" s="575"/>
      <c r="C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6"/>
      <c r="S66" s="575">
        <v>17</v>
      </c>
      <c r="T66" s="756" t="s">
        <v>423</v>
      </c>
      <c r="U66" s="759">
        <v>0</v>
      </c>
      <c r="V66" s="759">
        <v>0</v>
      </c>
      <c r="W66" s="759">
        <v>0</v>
      </c>
      <c r="X66" s="759">
        <v>618.73</v>
      </c>
      <c r="Y66" s="759">
        <v>0</v>
      </c>
      <c r="Z66" s="759">
        <v>0</v>
      </c>
      <c r="AA66" s="759">
        <v>0</v>
      </c>
      <c r="AB66" s="759">
        <v>0</v>
      </c>
      <c r="AC66" s="759">
        <v>0</v>
      </c>
      <c r="AD66" s="759">
        <v>0</v>
      </c>
      <c r="AE66" s="759">
        <v>0</v>
      </c>
      <c r="AF66" s="759">
        <v>0</v>
      </c>
      <c r="AG66" s="760">
        <v>618.73</v>
      </c>
    </row>
    <row r="67" spans="1:34" ht="11.25" customHeight="1" x14ac:dyDescent="0.2">
      <c r="A67" s="575"/>
      <c r="B67" s="575"/>
      <c r="C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6"/>
      <c r="S67" s="575">
        <v>18</v>
      </c>
      <c r="T67" s="756" t="s">
        <v>424</v>
      </c>
      <c r="U67" s="759">
        <v>103.09</v>
      </c>
      <c r="V67" s="759">
        <v>103.13</v>
      </c>
      <c r="W67" s="759">
        <v>132.68</v>
      </c>
      <c r="X67" s="759">
        <v>0</v>
      </c>
      <c r="Y67" s="759">
        <v>123.98</v>
      </c>
      <c r="Z67" s="759">
        <v>113.13</v>
      </c>
      <c r="AA67" s="759">
        <v>0</v>
      </c>
      <c r="AB67" s="759">
        <v>248.39</v>
      </c>
      <c r="AC67" s="759">
        <v>105.74</v>
      </c>
      <c r="AD67" s="759">
        <v>0</v>
      </c>
      <c r="AE67" s="759">
        <v>-92.96</v>
      </c>
      <c r="AF67" s="759">
        <v>0</v>
      </c>
      <c r="AG67" s="760">
        <v>837.18</v>
      </c>
      <c r="AH67" s="707"/>
    </row>
    <row r="68" spans="1:34" ht="11.25" customHeight="1" x14ac:dyDescent="0.2">
      <c r="A68" s="575"/>
      <c r="B68" s="575"/>
      <c r="C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6"/>
      <c r="S68" s="575">
        <v>18</v>
      </c>
      <c r="T68" s="756" t="s">
        <v>425</v>
      </c>
      <c r="U68" s="759">
        <v>399.5</v>
      </c>
      <c r="V68" s="759">
        <v>336.74</v>
      </c>
      <c r="W68" s="759">
        <v>2231.13</v>
      </c>
      <c r="X68" s="759">
        <v>0</v>
      </c>
      <c r="Y68" s="759">
        <v>3673.6</v>
      </c>
      <c r="Z68" s="759">
        <v>50</v>
      </c>
      <c r="AA68" s="759">
        <v>0</v>
      </c>
      <c r="AB68" s="759">
        <v>929.2</v>
      </c>
      <c r="AC68" s="759">
        <v>0</v>
      </c>
      <c r="AD68" s="759">
        <v>1150.3699999999999</v>
      </c>
      <c r="AE68" s="759">
        <v>196.88</v>
      </c>
      <c r="AF68" s="759">
        <v>430.32</v>
      </c>
      <c r="AG68" s="760">
        <v>9397.74</v>
      </c>
      <c r="AH68" s="707"/>
    </row>
    <row r="69" spans="1:34" ht="11.25" customHeight="1" x14ac:dyDescent="0.25">
      <c r="A69" s="575"/>
      <c r="B69" s="575"/>
      <c r="C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6"/>
      <c r="S69" s="575">
        <v>17</v>
      </c>
      <c r="T69" s="756" t="s">
        <v>426</v>
      </c>
      <c r="U69" s="759">
        <v>196.39</v>
      </c>
      <c r="V69" s="759">
        <v>193.55</v>
      </c>
      <c r="W69" s="759">
        <v>193.87</v>
      </c>
      <c r="X69" s="759">
        <v>193.39</v>
      </c>
      <c r="Y69" s="759">
        <v>190.39</v>
      </c>
      <c r="Z69" s="759">
        <v>194.89</v>
      </c>
      <c r="AA69" s="759">
        <v>192.05</v>
      </c>
      <c r="AB69" s="759">
        <v>193.71</v>
      </c>
      <c r="AC69" s="759">
        <v>194.27</v>
      </c>
      <c r="AD69" s="759">
        <v>192.05</v>
      </c>
      <c r="AE69" s="759">
        <v>1.82</v>
      </c>
      <c r="AF69" s="759">
        <v>384.1</v>
      </c>
      <c r="AG69" s="760">
        <v>2320.48</v>
      </c>
    </row>
    <row r="70" spans="1:34" ht="11.25" customHeight="1" x14ac:dyDescent="0.2">
      <c r="A70" s="575"/>
      <c r="B70" s="575"/>
      <c r="C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6"/>
      <c r="S70" s="575">
        <v>29</v>
      </c>
      <c r="T70" s="756" t="s">
        <v>427</v>
      </c>
      <c r="U70" s="759">
        <v>124.26</v>
      </c>
      <c r="V70" s="759">
        <v>124.26</v>
      </c>
      <c r="W70" s="759">
        <v>134.41</v>
      </c>
      <c r="X70" s="759">
        <v>134.41</v>
      </c>
      <c r="Y70" s="759">
        <v>116.64</v>
      </c>
      <c r="Z70" s="759">
        <v>128.47999999999999</v>
      </c>
      <c r="AA70" s="759">
        <v>128.47999999999999</v>
      </c>
      <c r="AB70" s="759">
        <v>128.47999999999999</v>
      </c>
      <c r="AC70" s="759">
        <v>128.47999999999999</v>
      </c>
      <c r="AD70" s="759">
        <v>128.47999999999999</v>
      </c>
      <c r="AE70" s="759">
        <v>128.47999999999999</v>
      </c>
      <c r="AF70" s="759">
        <v>126.87</v>
      </c>
      <c r="AG70" s="760">
        <v>1531.73</v>
      </c>
      <c r="AH70" s="707"/>
    </row>
    <row r="71" spans="1:34" ht="11.25" customHeight="1" x14ac:dyDescent="0.2">
      <c r="A71" s="575"/>
      <c r="B71" s="575"/>
      <c r="C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6"/>
      <c r="S71" s="575">
        <v>17</v>
      </c>
      <c r="T71" s="756" t="s">
        <v>428</v>
      </c>
      <c r="U71" s="759">
        <v>248.63</v>
      </c>
      <c r="V71" s="759">
        <v>248.73</v>
      </c>
      <c r="W71" s="759">
        <v>251.94</v>
      </c>
      <c r="X71" s="759">
        <v>156.85</v>
      </c>
      <c r="Y71" s="759">
        <v>248.68</v>
      </c>
      <c r="Z71" s="759">
        <v>266.13</v>
      </c>
      <c r="AA71" s="759">
        <v>255.98</v>
      </c>
      <c r="AB71" s="759">
        <v>256.43</v>
      </c>
      <c r="AC71" s="759">
        <v>258.01</v>
      </c>
      <c r="AD71" s="759">
        <v>439.82</v>
      </c>
      <c r="AE71" s="759">
        <v>269.77999999999997</v>
      </c>
      <c r="AF71" s="759">
        <v>3.01</v>
      </c>
      <c r="AG71" s="760">
        <v>2903.99</v>
      </c>
      <c r="AH71" s="707"/>
    </row>
    <row r="72" spans="1:34" ht="11.25" customHeight="1" x14ac:dyDescent="0.25">
      <c r="A72" s="575"/>
      <c r="B72" s="575"/>
      <c r="C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6"/>
      <c r="S72" s="575">
        <v>18</v>
      </c>
      <c r="T72" s="756" t="s">
        <v>429</v>
      </c>
      <c r="U72" s="759">
        <v>0</v>
      </c>
      <c r="V72" s="759">
        <v>0</v>
      </c>
      <c r="W72" s="759">
        <v>0</v>
      </c>
      <c r="X72" s="759">
        <v>142.66</v>
      </c>
      <c r="Y72" s="759">
        <v>0</v>
      </c>
      <c r="Z72" s="759">
        <v>0</v>
      </c>
      <c r="AA72" s="759">
        <v>0</v>
      </c>
      <c r="AB72" s="759">
        <v>0</v>
      </c>
      <c r="AC72" s="759">
        <v>0</v>
      </c>
      <c r="AD72" s="759">
        <v>0</v>
      </c>
      <c r="AE72" s="759">
        <v>211.48</v>
      </c>
      <c r="AF72" s="759">
        <v>0</v>
      </c>
      <c r="AG72" s="760">
        <v>354.14</v>
      </c>
    </row>
    <row r="73" spans="1:34" ht="11.25" customHeight="1" x14ac:dyDescent="0.2">
      <c r="A73" s="575"/>
      <c r="B73" s="575"/>
      <c r="C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6"/>
      <c r="S73" s="575">
        <v>18</v>
      </c>
      <c r="T73" s="756" t="s">
        <v>430</v>
      </c>
      <c r="U73" s="759">
        <v>119.73</v>
      </c>
      <c r="V73" s="759">
        <v>0</v>
      </c>
      <c r="W73" s="759">
        <v>50</v>
      </c>
      <c r="X73" s="759">
        <v>50</v>
      </c>
      <c r="Y73" s="759">
        <v>0</v>
      </c>
      <c r="Z73" s="759">
        <v>0</v>
      </c>
      <c r="AA73" s="759">
        <v>450</v>
      </c>
      <c r="AB73" s="759">
        <v>0</v>
      </c>
      <c r="AC73" s="759">
        <v>0</v>
      </c>
      <c r="AD73" s="759">
        <v>850</v>
      </c>
      <c r="AE73" s="759">
        <v>0</v>
      </c>
      <c r="AF73" s="759">
        <v>0</v>
      </c>
      <c r="AG73" s="760">
        <v>1519.73</v>
      </c>
      <c r="AH73" s="710"/>
    </row>
    <row r="74" spans="1:34" ht="11.25" customHeight="1" x14ac:dyDescent="0.2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6"/>
      <c r="S74" s="575">
        <v>17</v>
      </c>
      <c r="T74" s="756" t="s">
        <v>431</v>
      </c>
      <c r="U74" s="761">
        <v>188.93</v>
      </c>
      <c r="V74" s="761">
        <v>286.23</v>
      </c>
      <c r="W74" s="761">
        <v>342.21</v>
      </c>
      <c r="X74" s="761">
        <v>213.25</v>
      </c>
      <c r="Y74" s="761">
        <v>490.2</v>
      </c>
      <c r="Z74" s="761">
        <v>416.6</v>
      </c>
      <c r="AA74" s="761">
        <v>381.38</v>
      </c>
      <c r="AB74" s="761">
        <v>277.11</v>
      </c>
      <c r="AC74" s="761">
        <v>390.04</v>
      </c>
      <c r="AD74" s="761">
        <v>346.84</v>
      </c>
      <c r="AE74" s="761">
        <v>849.93</v>
      </c>
      <c r="AF74" s="761">
        <v>291.58999999999997</v>
      </c>
      <c r="AG74" s="762">
        <v>4474.3100000000004</v>
      </c>
      <c r="AH74" s="707"/>
    </row>
    <row r="75" spans="1:34" ht="11.25" customHeight="1" x14ac:dyDescent="0.25">
      <c r="A75" s="575"/>
      <c r="B75" s="575"/>
      <c r="C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6"/>
      <c r="S75" s="575"/>
      <c r="T75" s="758" t="s">
        <v>432</v>
      </c>
      <c r="U75" s="760">
        <v>2282.4499999999998</v>
      </c>
      <c r="V75" s="760">
        <v>1431.66</v>
      </c>
      <c r="W75" s="760">
        <v>3478</v>
      </c>
      <c r="X75" s="760">
        <v>1878.79</v>
      </c>
      <c r="Y75" s="760">
        <v>4956.62</v>
      </c>
      <c r="Z75" s="760">
        <v>1850.67</v>
      </c>
      <c r="AA75" s="760">
        <v>1989.42</v>
      </c>
      <c r="AB75" s="760">
        <v>2233.4499999999998</v>
      </c>
      <c r="AC75" s="760">
        <v>1170.31</v>
      </c>
      <c r="AD75" s="760">
        <v>4740.12</v>
      </c>
      <c r="AE75" s="760">
        <v>2285.36</v>
      </c>
      <c r="AF75" s="760">
        <v>1663.11</v>
      </c>
      <c r="AG75" s="760">
        <v>29959.96</v>
      </c>
    </row>
    <row r="76" spans="1:34" ht="11.25" customHeight="1" x14ac:dyDescent="0.2">
      <c r="A76" s="575"/>
      <c r="B76" s="575"/>
      <c r="C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6"/>
      <c r="S76" s="575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707"/>
    </row>
    <row r="77" spans="1:34" ht="11.25" customHeight="1" x14ac:dyDescent="0.2">
      <c r="A77" s="575"/>
      <c r="B77" s="575"/>
      <c r="C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6"/>
      <c r="S77" s="575"/>
      <c r="T77" s="758" t="s">
        <v>433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 s="707"/>
    </row>
    <row r="78" spans="1:34" ht="11.25" customHeight="1" x14ac:dyDescent="0.25">
      <c r="A78" s="575"/>
      <c r="B78" s="575"/>
      <c r="C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6"/>
      <c r="S78" s="575">
        <v>18</v>
      </c>
      <c r="T78" s="756" t="s">
        <v>433</v>
      </c>
      <c r="U78" s="759">
        <v>2448.14</v>
      </c>
      <c r="V78" s="759">
        <v>2405.54</v>
      </c>
      <c r="W78" s="759">
        <v>2530.84</v>
      </c>
      <c r="X78" s="759">
        <v>2602.2600000000002</v>
      </c>
      <c r="Y78" s="759">
        <v>2546.0700000000002</v>
      </c>
      <c r="Z78" s="759">
        <v>2600.9499999999998</v>
      </c>
      <c r="AA78" s="759">
        <v>2950.73</v>
      </c>
      <c r="AB78" s="759">
        <v>2656.19</v>
      </c>
      <c r="AC78" s="759">
        <v>2428.4299999999998</v>
      </c>
      <c r="AD78" s="759">
        <v>2697.73</v>
      </c>
      <c r="AE78" s="759">
        <v>2670.11</v>
      </c>
      <c r="AF78" s="759">
        <v>2739.38</v>
      </c>
      <c r="AG78" s="760">
        <v>31276.37</v>
      </c>
    </row>
    <row r="79" spans="1:34" ht="11.25" customHeight="1" x14ac:dyDescent="0.2">
      <c r="A79" s="575"/>
      <c r="B79" s="575"/>
      <c r="C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6"/>
      <c r="S79" s="575">
        <v>18</v>
      </c>
      <c r="T79" s="756" t="s">
        <v>434</v>
      </c>
      <c r="U79" s="761">
        <v>400</v>
      </c>
      <c r="V79" s="761">
        <v>400</v>
      </c>
      <c r="W79" s="761">
        <v>400</v>
      </c>
      <c r="X79" s="761">
        <v>400</v>
      </c>
      <c r="Y79" s="761">
        <v>400</v>
      </c>
      <c r="Z79" s="761">
        <v>400</v>
      </c>
      <c r="AA79" s="761">
        <v>400</v>
      </c>
      <c r="AB79" s="761">
        <v>400</v>
      </c>
      <c r="AC79" s="761">
        <v>400</v>
      </c>
      <c r="AD79" s="761">
        <v>400</v>
      </c>
      <c r="AE79" s="761">
        <v>400</v>
      </c>
      <c r="AF79" s="761">
        <v>400</v>
      </c>
      <c r="AG79" s="762">
        <v>4800</v>
      </c>
      <c r="AH79" s="707"/>
    </row>
    <row r="80" spans="1:34" ht="11.25" customHeight="1" x14ac:dyDescent="0.2">
      <c r="A80" s="575"/>
      <c r="B80" s="575"/>
      <c r="C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6"/>
      <c r="S80" s="575"/>
      <c r="T80" s="758" t="s">
        <v>435</v>
      </c>
      <c r="U80" s="760">
        <v>2848.14</v>
      </c>
      <c r="V80" s="760">
        <v>2805.54</v>
      </c>
      <c r="W80" s="760">
        <v>2930.84</v>
      </c>
      <c r="X80" s="760">
        <v>3002.26</v>
      </c>
      <c r="Y80" s="760">
        <v>2946.07</v>
      </c>
      <c r="Z80" s="760">
        <v>3000.95</v>
      </c>
      <c r="AA80" s="760">
        <v>3350.73</v>
      </c>
      <c r="AB80" s="760">
        <v>3056.19</v>
      </c>
      <c r="AC80" s="760">
        <v>2828.43</v>
      </c>
      <c r="AD80" s="760">
        <v>3097.73</v>
      </c>
      <c r="AE80" s="760">
        <v>3070.11</v>
      </c>
      <c r="AF80" s="760">
        <v>3139.38</v>
      </c>
      <c r="AG80" s="760">
        <v>36076.370000000003</v>
      </c>
      <c r="AH80" s="707"/>
    </row>
    <row r="81" spans="1:34" ht="11.25" customHeight="1" x14ac:dyDescent="0.2">
      <c r="A81" s="575"/>
      <c r="B81" s="575"/>
      <c r="C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6"/>
      <c r="S81" s="575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 s="710"/>
    </row>
    <row r="82" spans="1:34" ht="11.25" customHeight="1" x14ac:dyDescent="0.2">
      <c r="A82" s="575"/>
      <c r="B82" s="575"/>
      <c r="C82" s="575"/>
      <c r="D82" s="575"/>
      <c r="E82" s="7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6"/>
      <c r="S82" s="575"/>
      <c r="T82" s="758" t="s">
        <v>436</v>
      </c>
      <c r="U82"/>
      <c r="V82"/>
      <c r="W82"/>
      <c r="X82"/>
      <c r="Y82"/>
      <c r="Z82"/>
      <c r="AA82"/>
      <c r="AB82"/>
      <c r="AC82"/>
      <c r="AD82"/>
      <c r="AE82"/>
      <c r="AF82"/>
      <c r="AG82"/>
      <c r="AH82" s="707"/>
    </row>
    <row r="83" spans="1:34" ht="11.25" customHeight="1" x14ac:dyDescent="0.2">
      <c r="A83" s="575"/>
      <c r="B83" s="575"/>
      <c r="C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6"/>
      <c r="S83" s="575">
        <v>15</v>
      </c>
      <c r="T83" s="756" t="s">
        <v>437</v>
      </c>
      <c r="U83" s="759">
        <v>2366.61</v>
      </c>
      <c r="V83" s="759">
        <v>4248.9399999999996</v>
      </c>
      <c r="W83" s="759">
        <v>3797.67</v>
      </c>
      <c r="X83" s="759">
        <v>2019.41</v>
      </c>
      <c r="Y83" s="759">
        <v>2525.5700000000002</v>
      </c>
      <c r="Z83" s="759">
        <v>2701.29</v>
      </c>
      <c r="AA83" s="759">
        <v>2747.19</v>
      </c>
      <c r="AB83" s="759">
        <v>2677.39</v>
      </c>
      <c r="AC83" s="759">
        <v>2630.17</v>
      </c>
      <c r="AD83" s="759">
        <v>4001.17</v>
      </c>
      <c r="AE83" s="759">
        <v>2768.71</v>
      </c>
      <c r="AF83" s="759">
        <v>2878.4</v>
      </c>
      <c r="AG83" s="760">
        <v>35362.519999999997</v>
      </c>
      <c r="AH83" s="710"/>
    </row>
    <row r="84" spans="1:34" ht="11.25" customHeight="1" x14ac:dyDescent="0.25">
      <c r="A84" s="575"/>
      <c r="B84" s="575"/>
      <c r="C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6"/>
      <c r="S84" s="575">
        <v>15</v>
      </c>
      <c r="T84" s="756" t="s">
        <v>438</v>
      </c>
      <c r="U84" s="759">
        <v>0</v>
      </c>
      <c r="V84" s="759">
        <v>0</v>
      </c>
      <c r="W84" s="759">
        <v>0</v>
      </c>
      <c r="X84" s="759">
        <v>1.5</v>
      </c>
      <c r="Y84" s="759">
        <v>1.26</v>
      </c>
      <c r="Z84" s="759">
        <v>1.05</v>
      </c>
      <c r="AA84" s="759">
        <v>32.340000000000003</v>
      </c>
      <c r="AB84" s="759">
        <v>0</v>
      </c>
      <c r="AC84" s="759">
        <v>0.84</v>
      </c>
      <c r="AD84" s="759">
        <v>23.1</v>
      </c>
      <c r="AE84" s="759">
        <v>0</v>
      </c>
      <c r="AF84" s="759">
        <v>0</v>
      </c>
      <c r="AG84" s="760">
        <v>60.09</v>
      </c>
    </row>
    <row r="85" spans="1:34" ht="11.25" customHeight="1" x14ac:dyDescent="0.2">
      <c r="A85" s="575"/>
      <c r="B85" s="575"/>
      <c r="C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6"/>
      <c r="S85" s="575">
        <v>15</v>
      </c>
      <c r="T85" s="756" t="s">
        <v>439</v>
      </c>
      <c r="U85" s="759">
        <v>796.23</v>
      </c>
      <c r="V85" s="759">
        <v>1239.8699999999999</v>
      </c>
      <c r="W85" s="759">
        <v>30.72</v>
      </c>
      <c r="X85" s="759">
        <v>1311.42</v>
      </c>
      <c r="Y85" s="759">
        <v>1847.13</v>
      </c>
      <c r="Z85" s="759">
        <v>1370.51</v>
      </c>
      <c r="AA85" s="759">
        <v>1374.96</v>
      </c>
      <c r="AB85" s="759">
        <v>1364.43</v>
      </c>
      <c r="AC85" s="759">
        <v>1373.9</v>
      </c>
      <c r="AD85" s="759">
        <v>2057.56</v>
      </c>
      <c r="AE85" s="759">
        <v>1365.04</v>
      </c>
      <c r="AF85" s="759">
        <v>1422.88</v>
      </c>
      <c r="AG85" s="760">
        <v>15554.65</v>
      </c>
      <c r="AH85" s="707"/>
    </row>
    <row r="86" spans="1:34" ht="11.25" customHeight="1" x14ac:dyDescent="0.25">
      <c r="A86" s="575"/>
      <c r="B86" s="575"/>
      <c r="C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6"/>
      <c r="S86" s="575">
        <v>15</v>
      </c>
      <c r="T86" s="756" t="s">
        <v>440</v>
      </c>
      <c r="U86" s="759">
        <v>88.06</v>
      </c>
      <c r="V86" s="759">
        <v>132.05000000000001</v>
      </c>
      <c r="W86" s="759">
        <v>88.04</v>
      </c>
      <c r="X86" s="759">
        <v>88.06</v>
      </c>
      <c r="Y86" s="759">
        <v>205.68</v>
      </c>
      <c r="Z86" s="759">
        <v>99.95</v>
      </c>
      <c r="AA86" s="759">
        <v>105</v>
      </c>
      <c r="AB86" s="759">
        <v>104.61</v>
      </c>
      <c r="AC86" s="759">
        <v>104.22</v>
      </c>
      <c r="AD86" s="759">
        <v>116.66</v>
      </c>
      <c r="AE86" s="759">
        <v>89.82</v>
      </c>
      <c r="AF86" s="759">
        <v>101.87</v>
      </c>
      <c r="AG86" s="760">
        <v>1324.02</v>
      </c>
    </row>
    <row r="87" spans="1:34" ht="11.25" customHeight="1" x14ac:dyDescent="0.2">
      <c r="A87" s="575"/>
      <c r="B87" s="575"/>
      <c r="C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6"/>
      <c r="S87" s="575">
        <v>15</v>
      </c>
      <c r="T87" s="756" t="s">
        <v>441</v>
      </c>
      <c r="U87" s="759">
        <v>26.86</v>
      </c>
      <c r="V87" s="759">
        <v>21.7</v>
      </c>
      <c r="W87" s="759">
        <v>8.27</v>
      </c>
      <c r="X87" s="759">
        <v>39.26</v>
      </c>
      <c r="Y87" s="759">
        <v>0</v>
      </c>
      <c r="Z87" s="759">
        <v>0</v>
      </c>
      <c r="AA87" s="759">
        <v>62.7</v>
      </c>
      <c r="AB87" s="759">
        <v>185.35</v>
      </c>
      <c r="AC87" s="759">
        <v>234.3</v>
      </c>
      <c r="AD87" s="759">
        <v>65.45</v>
      </c>
      <c r="AE87" s="759">
        <v>73.150000000000006</v>
      </c>
      <c r="AF87" s="759">
        <v>0</v>
      </c>
      <c r="AG87" s="760">
        <v>717.04</v>
      </c>
      <c r="AH87" s="707"/>
    </row>
    <row r="88" spans="1:34" ht="11.25" customHeight="1" x14ac:dyDescent="0.2">
      <c r="A88" s="575"/>
      <c r="B88" s="575"/>
      <c r="C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6"/>
      <c r="S88" s="575">
        <v>15</v>
      </c>
      <c r="T88" s="756" t="s">
        <v>442</v>
      </c>
      <c r="U88" s="759">
        <v>3306.24</v>
      </c>
      <c r="V88" s="759">
        <v>5022.7299999999996</v>
      </c>
      <c r="W88" s="759">
        <v>3321.04</v>
      </c>
      <c r="X88" s="759">
        <v>3315.19</v>
      </c>
      <c r="Y88" s="759">
        <v>1450.4</v>
      </c>
      <c r="Z88" s="759">
        <v>2477.9299999999998</v>
      </c>
      <c r="AA88" s="759">
        <v>3291.57</v>
      </c>
      <c r="AB88" s="759">
        <v>3526.96</v>
      </c>
      <c r="AC88" s="759">
        <v>3504.6</v>
      </c>
      <c r="AD88" s="759">
        <v>5223.17</v>
      </c>
      <c r="AE88" s="759">
        <v>3948.13</v>
      </c>
      <c r="AF88" s="759">
        <v>3298.53</v>
      </c>
      <c r="AG88" s="760">
        <v>41686.49</v>
      </c>
      <c r="AH88" s="708"/>
    </row>
    <row r="89" spans="1:34" ht="11.25" customHeight="1" x14ac:dyDescent="0.25">
      <c r="A89" s="575"/>
      <c r="B89" s="575"/>
      <c r="C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6"/>
      <c r="S89" s="575">
        <v>15</v>
      </c>
      <c r="T89" s="756" t="s">
        <v>443</v>
      </c>
      <c r="U89" s="759">
        <v>0</v>
      </c>
      <c r="V89" s="759">
        <v>0</v>
      </c>
      <c r="W89" s="759">
        <v>604.79</v>
      </c>
      <c r="X89" s="759">
        <v>0</v>
      </c>
      <c r="Y89" s="759">
        <v>0</v>
      </c>
      <c r="Z89" s="759">
        <v>0</v>
      </c>
      <c r="AA89" s="759">
        <v>0</v>
      </c>
      <c r="AB89" s="759">
        <v>0</v>
      </c>
      <c r="AC89" s="759">
        <v>0</v>
      </c>
      <c r="AD89" s="759">
        <v>0</v>
      </c>
      <c r="AE89" s="759">
        <v>0</v>
      </c>
      <c r="AF89" s="759">
        <v>0</v>
      </c>
      <c r="AG89" s="760">
        <v>604.79</v>
      </c>
    </row>
    <row r="90" spans="1:34" ht="11.25" customHeight="1" x14ac:dyDescent="0.25">
      <c r="A90" s="575"/>
      <c r="B90" s="575"/>
      <c r="C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6"/>
      <c r="S90" s="575">
        <v>15</v>
      </c>
      <c r="T90" s="756" t="s">
        <v>444</v>
      </c>
      <c r="U90" s="759">
        <v>250</v>
      </c>
      <c r="V90" s="759">
        <v>200</v>
      </c>
      <c r="W90" s="759">
        <v>200</v>
      </c>
      <c r="X90" s="759">
        <v>250</v>
      </c>
      <c r="Y90" s="759">
        <v>200</v>
      </c>
      <c r="Z90" s="759">
        <v>0</v>
      </c>
      <c r="AA90" s="759">
        <v>100</v>
      </c>
      <c r="AB90" s="759">
        <v>0</v>
      </c>
      <c r="AC90" s="759">
        <v>50</v>
      </c>
      <c r="AD90" s="759">
        <v>50</v>
      </c>
      <c r="AE90" s="759">
        <v>150</v>
      </c>
      <c r="AF90" s="759">
        <v>150</v>
      </c>
      <c r="AG90" s="760">
        <v>1600</v>
      </c>
    </row>
    <row r="91" spans="1:34" ht="11.25" customHeight="1" x14ac:dyDescent="0.25">
      <c r="A91" s="575"/>
      <c r="B91" s="575"/>
      <c r="C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6"/>
      <c r="S91" s="575">
        <v>15</v>
      </c>
      <c r="T91" s="756" t="s">
        <v>445</v>
      </c>
      <c r="U91" s="759">
        <v>999.87</v>
      </c>
      <c r="V91" s="759">
        <v>1598.82</v>
      </c>
      <c r="W91" s="759">
        <v>1152.1199999999999</v>
      </c>
      <c r="X91" s="759">
        <v>841.32</v>
      </c>
      <c r="Y91" s="759">
        <v>353.25</v>
      </c>
      <c r="Z91" s="759">
        <v>72.52</v>
      </c>
      <c r="AA91" s="759">
        <v>559.41</v>
      </c>
      <c r="AB91" s="759">
        <v>625.12</v>
      </c>
      <c r="AC91" s="759">
        <v>638.28</v>
      </c>
      <c r="AD91" s="759">
        <v>949.19</v>
      </c>
      <c r="AE91" s="759">
        <v>648.64</v>
      </c>
      <c r="AF91" s="759">
        <v>642.52</v>
      </c>
      <c r="AG91" s="760">
        <v>9081.06</v>
      </c>
    </row>
    <row r="92" spans="1:34" ht="11.25" customHeight="1" x14ac:dyDescent="0.25">
      <c r="A92" s="575"/>
      <c r="B92" s="575"/>
      <c r="C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6"/>
      <c r="S92" s="575">
        <v>15</v>
      </c>
      <c r="T92" s="756" t="s">
        <v>446</v>
      </c>
      <c r="U92" s="759">
        <v>214.41</v>
      </c>
      <c r="V92" s="759">
        <v>243.37</v>
      </c>
      <c r="W92" s="759">
        <v>258.69</v>
      </c>
      <c r="X92" s="759">
        <v>661.98</v>
      </c>
      <c r="Y92" s="759">
        <v>11.29</v>
      </c>
      <c r="Z92" s="759">
        <v>276.83999999999997</v>
      </c>
      <c r="AA92" s="759">
        <v>132.08000000000001</v>
      </c>
      <c r="AB92" s="759">
        <v>199</v>
      </c>
      <c r="AC92" s="759">
        <v>263.88</v>
      </c>
      <c r="AD92" s="759">
        <v>304.70999999999998</v>
      </c>
      <c r="AE92" s="759">
        <v>411.34</v>
      </c>
      <c r="AF92" s="759">
        <v>411.34</v>
      </c>
      <c r="AG92" s="760">
        <v>3388.93</v>
      </c>
    </row>
    <row r="93" spans="1:34" ht="11.25" customHeight="1" x14ac:dyDescent="0.25">
      <c r="A93" s="575"/>
      <c r="B93" s="575"/>
      <c r="C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6"/>
      <c r="S93" s="575">
        <v>15</v>
      </c>
      <c r="T93" s="756" t="s">
        <v>447</v>
      </c>
      <c r="U93" s="759">
        <v>515.48</v>
      </c>
      <c r="V93" s="759">
        <v>820.15</v>
      </c>
      <c r="W93" s="759">
        <v>978.66</v>
      </c>
      <c r="X93" s="759">
        <v>903.33</v>
      </c>
      <c r="Y93" s="759">
        <v>725.13</v>
      </c>
      <c r="Z93" s="759">
        <v>845.12</v>
      </c>
      <c r="AA93" s="759">
        <v>856.13</v>
      </c>
      <c r="AB93" s="759">
        <v>788.53</v>
      </c>
      <c r="AC93" s="759">
        <v>618.80999999999995</v>
      </c>
      <c r="AD93" s="759">
        <v>874.22</v>
      </c>
      <c r="AE93" s="759">
        <v>633.1</v>
      </c>
      <c r="AF93" s="759">
        <v>592.6</v>
      </c>
      <c r="AG93" s="760">
        <v>9151.26</v>
      </c>
    </row>
    <row r="94" spans="1:34" ht="11.25" customHeight="1" x14ac:dyDescent="0.25">
      <c r="A94" s="575"/>
      <c r="B94" s="575"/>
      <c r="C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6"/>
      <c r="S94" s="575">
        <v>17</v>
      </c>
      <c r="T94" s="756" t="s">
        <v>448</v>
      </c>
      <c r="U94" s="759">
        <v>0</v>
      </c>
      <c r="V94" s="759">
        <v>0</v>
      </c>
      <c r="W94" s="759">
        <v>49.3</v>
      </c>
      <c r="X94" s="759">
        <v>123</v>
      </c>
      <c r="Y94" s="759">
        <v>0</v>
      </c>
      <c r="Z94" s="759">
        <v>0</v>
      </c>
      <c r="AA94" s="759">
        <v>123.7</v>
      </c>
      <c r="AB94" s="759">
        <v>0</v>
      </c>
      <c r="AC94" s="759">
        <v>0</v>
      </c>
      <c r="AD94" s="759">
        <v>0</v>
      </c>
      <c r="AE94" s="759">
        <v>0</v>
      </c>
      <c r="AF94" s="759">
        <v>0</v>
      </c>
      <c r="AG94" s="760">
        <v>296</v>
      </c>
    </row>
    <row r="95" spans="1:34" ht="11.25" customHeight="1" x14ac:dyDescent="0.2">
      <c r="A95" s="575"/>
      <c r="B95" s="575"/>
      <c r="C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6"/>
      <c r="S95" s="575">
        <v>17</v>
      </c>
      <c r="T95" s="756" t="s">
        <v>449</v>
      </c>
      <c r="U95" s="761">
        <v>0</v>
      </c>
      <c r="V95" s="761">
        <v>166.65</v>
      </c>
      <c r="W95" s="761">
        <v>51.35</v>
      </c>
      <c r="X95" s="761">
        <v>50.95</v>
      </c>
      <c r="Y95" s="761">
        <v>64.94</v>
      </c>
      <c r="Z95" s="761">
        <v>0</v>
      </c>
      <c r="AA95" s="761">
        <v>0</v>
      </c>
      <c r="AB95" s="761">
        <v>326.67</v>
      </c>
      <c r="AC95" s="761">
        <v>0</v>
      </c>
      <c r="AD95" s="761">
        <v>87.34</v>
      </c>
      <c r="AE95" s="761">
        <v>83.62</v>
      </c>
      <c r="AF95" s="761">
        <v>0</v>
      </c>
      <c r="AG95" s="762">
        <v>831.52</v>
      </c>
      <c r="AH95" s="703"/>
    </row>
    <row r="96" spans="1:34" ht="11.25" customHeight="1" x14ac:dyDescent="0.25">
      <c r="A96" s="575"/>
      <c r="B96" s="575"/>
      <c r="C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6"/>
      <c r="S96" s="575"/>
      <c r="T96" s="758" t="s">
        <v>450</v>
      </c>
      <c r="U96" s="760">
        <v>8563.76</v>
      </c>
      <c r="V96" s="760">
        <v>13694.28</v>
      </c>
      <c r="W96" s="760">
        <v>10540.65</v>
      </c>
      <c r="X96" s="760">
        <v>9605.42</v>
      </c>
      <c r="Y96" s="760">
        <v>7384.65</v>
      </c>
      <c r="Z96" s="760">
        <v>7845.21</v>
      </c>
      <c r="AA96" s="760">
        <v>9385.08</v>
      </c>
      <c r="AB96" s="760">
        <v>9798.06</v>
      </c>
      <c r="AC96" s="760">
        <v>9419</v>
      </c>
      <c r="AD96" s="760">
        <v>13752.57</v>
      </c>
      <c r="AE96" s="760">
        <v>10171.549999999999</v>
      </c>
      <c r="AF96" s="760">
        <v>9498.14</v>
      </c>
      <c r="AG96" s="760">
        <v>119658.37</v>
      </c>
    </row>
    <row r="97" spans="1:34" ht="11.25" customHeight="1" x14ac:dyDescent="0.25">
      <c r="A97" s="575"/>
      <c r="B97" s="575"/>
      <c r="C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6"/>
      <c r="S97" s="575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4" ht="11.25" customHeight="1" x14ac:dyDescent="0.25">
      <c r="A98" s="575"/>
      <c r="B98" s="575"/>
      <c r="C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6"/>
      <c r="S98" s="575"/>
      <c r="T98" s="756" t="s">
        <v>451</v>
      </c>
      <c r="U98" s="763"/>
      <c r="V98" s="763"/>
      <c r="W98" s="763"/>
      <c r="X98" s="763"/>
      <c r="Y98" s="763"/>
      <c r="Z98" s="763"/>
      <c r="AA98" s="763"/>
      <c r="AB98" s="763"/>
      <c r="AC98" s="763"/>
      <c r="AD98" s="763"/>
      <c r="AE98" s="763"/>
      <c r="AF98" s="763"/>
      <c r="AG98" s="763"/>
    </row>
    <row r="99" spans="1:34" ht="11.25" customHeight="1" x14ac:dyDescent="0.2">
      <c r="A99" s="575"/>
      <c r="B99" s="575"/>
      <c r="C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6"/>
      <c r="S99" s="575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 s="706"/>
    </row>
    <row r="100" spans="1:34" ht="11.25" customHeight="1" x14ac:dyDescent="0.2">
      <c r="A100" s="575"/>
      <c r="B100" s="575"/>
      <c r="C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6"/>
      <c r="S100" s="575"/>
      <c r="T100" s="756" t="s">
        <v>452</v>
      </c>
      <c r="U100" s="759">
        <v>0</v>
      </c>
      <c r="V100" s="759">
        <v>0</v>
      </c>
      <c r="W100" s="759">
        <v>0</v>
      </c>
      <c r="X100" s="759">
        <v>0</v>
      </c>
      <c r="Y100" s="759">
        <v>0</v>
      </c>
      <c r="Z100" s="759">
        <v>0</v>
      </c>
      <c r="AA100" s="759">
        <v>0</v>
      </c>
      <c r="AB100" s="759">
        <v>0</v>
      </c>
      <c r="AC100" s="759">
        <v>0</v>
      </c>
      <c r="AD100" s="759">
        <v>0</v>
      </c>
      <c r="AE100" s="759">
        <v>0</v>
      </c>
      <c r="AF100" s="759">
        <v>0</v>
      </c>
      <c r="AG100" s="760">
        <v>0</v>
      </c>
      <c r="AH100" s="707"/>
    </row>
    <row r="101" spans="1:34" ht="11.25" customHeight="1" x14ac:dyDescent="0.2">
      <c r="A101" s="575"/>
      <c r="B101" s="575"/>
      <c r="C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6"/>
      <c r="S101" s="575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 s="707"/>
    </row>
    <row r="102" spans="1:34" ht="11.25" customHeight="1" x14ac:dyDescent="0.25">
      <c r="A102" s="575"/>
      <c r="B102" s="575"/>
      <c r="C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6"/>
      <c r="S102" s="575"/>
      <c r="T102" s="758" t="s">
        <v>453</v>
      </c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4" ht="11.25" customHeight="1" x14ac:dyDescent="0.2">
      <c r="A103" s="575"/>
      <c r="B103" s="575"/>
      <c r="C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6"/>
      <c r="S103" s="575">
        <v>19</v>
      </c>
      <c r="T103" s="756" t="s">
        <v>454</v>
      </c>
      <c r="U103" s="759">
        <v>0</v>
      </c>
      <c r="V103" s="759">
        <v>0</v>
      </c>
      <c r="W103" s="759">
        <v>0</v>
      </c>
      <c r="X103" s="759">
        <v>0</v>
      </c>
      <c r="Y103" s="759">
        <v>0</v>
      </c>
      <c r="Z103" s="759">
        <v>3160</v>
      </c>
      <c r="AA103" s="759">
        <v>3160</v>
      </c>
      <c r="AB103" s="759">
        <v>3160</v>
      </c>
      <c r="AC103" s="759">
        <v>3160</v>
      </c>
      <c r="AD103" s="759">
        <v>3160</v>
      </c>
      <c r="AE103" s="759">
        <v>3160</v>
      </c>
      <c r="AF103" s="759">
        <v>3160</v>
      </c>
      <c r="AG103" s="760">
        <v>22120</v>
      </c>
      <c r="AH103" s="707"/>
    </row>
    <row r="104" spans="1:34" ht="11.25" customHeight="1" x14ac:dyDescent="0.2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6"/>
      <c r="S104" s="575">
        <v>23</v>
      </c>
      <c r="T104" s="756" t="s">
        <v>455</v>
      </c>
      <c r="U104" s="759">
        <v>0</v>
      </c>
      <c r="V104" s="759">
        <v>0</v>
      </c>
      <c r="W104" s="759">
        <v>0</v>
      </c>
      <c r="X104" s="759">
        <v>0</v>
      </c>
      <c r="Y104" s="759">
        <v>0</v>
      </c>
      <c r="Z104" s="759">
        <v>0</v>
      </c>
      <c r="AA104" s="759">
        <v>0</v>
      </c>
      <c r="AB104" s="759">
        <v>0</v>
      </c>
      <c r="AC104" s="759">
        <v>0</v>
      </c>
      <c r="AD104" s="759">
        <v>0</v>
      </c>
      <c r="AE104" s="759">
        <v>279</v>
      </c>
      <c r="AF104" s="759">
        <v>0</v>
      </c>
      <c r="AG104" s="760">
        <v>279</v>
      </c>
      <c r="AH104" s="707"/>
    </row>
    <row r="105" spans="1:34" ht="11.25" customHeight="1" x14ac:dyDescent="0.2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6"/>
      <c r="S105" s="575">
        <v>20</v>
      </c>
      <c r="T105" s="756" t="s">
        <v>456</v>
      </c>
      <c r="U105" s="759">
        <v>267.5</v>
      </c>
      <c r="V105" s="759">
        <v>0</v>
      </c>
      <c r="W105" s="759">
        <v>321</v>
      </c>
      <c r="X105" s="759">
        <v>577.79999999999995</v>
      </c>
      <c r="Y105" s="759">
        <v>0</v>
      </c>
      <c r="Z105" s="759">
        <v>0</v>
      </c>
      <c r="AA105" s="759">
        <v>0</v>
      </c>
      <c r="AB105" s="759">
        <v>0</v>
      </c>
      <c r="AC105" s="759">
        <v>0</v>
      </c>
      <c r="AD105" s="759">
        <v>722.25</v>
      </c>
      <c r="AE105" s="759">
        <v>0</v>
      </c>
      <c r="AF105" s="759">
        <v>0</v>
      </c>
      <c r="AG105" s="760">
        <v>1888.55</v>
      </c>
      <c r="AH105" s="707"/>
    </row>
    <row r="106" spans="1:34" ht="11.25" customHeight="1" x14ac:dyDescent="0.25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6"/>
      <c r="S106" s="575">
        <v>19</v>
      </c>
      <c r="T106" s="756" t="s">
        <v>457</v>
      </c>
      <c r="U106" s="759">
        <v>58.44</v>
      </c>
      <c r="V106" s="759">
        <v>4308.4399999999996</v>
      </c>
      <c r="W106" s="759">
        <v>6858.44</v>
      </c>
      <c r="X106" s="759">
        <v>5558.63</v>
      </c>
      <c r="Y106" s="759">
        <v>59.02</v>
      </c>
      <c r="Z106" s="759">
        <v>3000</v>
      </c>
      <c r="AA106" s="759">
        <v>0</v>
      </c>
      <c r="AB106" s="759">
        <v>0</v>
      </c>
      <c r="AC106" s="759">
        <v>0</v>
      </c>
      <c r="AD106" s="759">
        <v>0</v>
      </c>
      <c r="AE106" s="759">
        <v>0</v>
      </c>
      <c r="AF106" s="759">
        <v>0</v>
      </c>
      <c r="AG106" s="760">
        <v>19842.97</v>
      </c>
    </row>
    <row r="107" spans="1:34" ht="11.25" customHeight="1" x14ac:dyDescent="0.2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6"/>
      <c r="S107" s="575">
        <v>21</v>
      </c>
      <c r="T107" s="756" t="s">
        <v>458</v>
      </c>
      <c r="U107" s="759">
        <v>7.48</v>
      </c>
      <c r="V107" s="759">
        <v>0</v>
      </c>
      <c r="W107" s="759">
        <v>0</v>
      </c>
      <c r="X107" s="759">
        <v>0</v>
      </c>
      <c r="Y107" s="759">
        <v>0</v>
      </c>
      <c r="Z107" s="759">
        <v>0</v>
      </c>
      <c r="AA107" s="759">
        <v>0</v>
      </c>
      <c r="AB107" s="759">
        <v>0</v>
      </c>
      <c r="AC107" s="759">
        <v>0</v>
      </c>
      <c r="AD107" s="759">
        <v>0</v>
      </c>
      <c r="AE107" s="759">
        <v>0</v>
      </c>
      <c r="AF107" s="759">
        <v>0</v>
      </c>
      <c r="AG107" s="760">
        <v>7.48</v>
      </c>
      <c r="AH107" s="707"/>
    </row>
    <row r="108" spans="1:34" ht="11.25" customHeight="1" x14ac:dyDescent="0.2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6"/>
      <c r="S108" s="575">
        <v>21</v>
      </c>
      <c r="T108" s="756" t="s">
        <v>260</v>
      </c>
      <c r="U108" s="759">
        <v>0</v>
      </c>
      <c r="V108" s="759">
        <v>0</v>
      </c>
      <c r="W108" s="759">
        <v>210</v>
      </c>
      <c r="X108" s="759">
        <v>0</v>
      </c>
      <c r="Y108" s="759">
        <v>0</v>
      </c>
      <c r="Z108" s="759">
        <v>0</v>
      </c>
      <c r="AA108" s="759">
        <v>0</v>
      </c>
      <c r="AB108" s="759">
        <v>0</v>
      </c>
      <c r="AC108" s="759">
        <v>0</v>
      </c>
      <c r="AD108" s="759">
        <v>0</v>
      </c>
      <c r="AE108" s="759">
        <v>0</v>
      </c>
      <c r="AF108" s="759">
        <v>0</v>
      </c>
      <c r="AG108" s="760">
        <v>210</v>
      </c>
      <c r="AH108" s="707"/>
    </row>
    <row r="109" spans="1:34" ht="11.25" customHeight="1" x14ac:dyDescent="0.2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6"/>
      <c r="S109" s="575">
        <v>20</v>
      </c>
      <c r="T109" s="756" t="s">
        <v>459</v>
      </c>
      <c r="U109" s="759">
        <v>149.80000000000001</v>
      </c>
      <c r="V109" s="759">
        <v>0</v>
      </c>
      <c r="W109" s="759">
        <v>149.80000000000001</v>
      </c>
      <c r="X109" s="759">
        <v>208.65</v>
      </c>
      <c r="Y109" s="759">
        <v>0</v>
      </c>
      <c r="Z109" s="759">
        <v>224.7</v>
      </c>
      <c r="AA109" s="759">
        <v>0</v>
      </c>
      <c r="AB109" s="759">
        <v>0</v>
      </c>
      <c r="AC109" s="759">
        <v>0</v>
      </c>
      <c r="AD109" s="759">
        <v>438.7</v>
      </c>
      <c r="AE109" s="759">
        <v>0</v>
      </c>
      <c r="AF109" s="759">
        <v>0</v>
      </c>
      <c r="AG109" s="760">
        <v>1171.6500000000001</v>
      </c>
      <c r="AH109" s="707"/>
    </row>
    <row r="110" spans="1:34" ht="11.25" customHeight="1" x14ac:dyDescent="0.2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6"/>
      <c r="S110" s="575">
        <v>21</v>
      </c>
      <c r="T110" s="756" t="s">
        <v>460</v>
      </c>
      <c r="U110" s="759">
        <v>160.5</v>
      </c>
      <c r="V110" s="759">
        <v>0</v>
      </c>
      <c r="W110" s="759">
        <v>0</v>
      </c>
      <c r="X110" s="759">
        <v>0</v>
      </c>
      <c r="Y110" s="759">
        <v>0</v>
      </c>
      <c r="Z110" s="759">
        <v>340.26</v>
      </c>
      <c r="AA110" s="759">
        <v>510.39</v>
      </c>
      <c r="AB110" s="759">
        <v>170.13</v>
      </c>
      <c r="AC110" s="759">
        <v>170.13</v>
      </c>
      <c r="AD110" s="759">
        <v>790.73</v>
      </c>
      <c r="AE110" s="759">
        <v>170.13</v>
      </c>
      <c r="AF110" s="759">
        <v>170.13</v>
      </c>
      <c r="AG110" s="760">
        <v>2482.4</v>
      </c>
      <c r="AH110" s="707"/>
    </row>
    <row r="111" spans="1:34" ht="11.25" customHeight="1" x14ac:dyDescent="0.2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6"/>
      <c r="S111" s="575">
        <v>20</v>
      </c>
      <c r="T111" s="756" t="s">
        <v>461</v>
      </c>
      <c r="U111" s="759">
        <v>0</v>
      </c>
      <c r="V111" s="759">
        <v>163.86</v>
      </c>
      <c r="W111" s="759">
        <v>131.04</v>
      </c>
      <c r="X111" s="759">
        <v>0</v>
      </c>
      <c r="Y111" s="759">
        <v>0</v>
      </c>
      <c r="Z111" s="759">
        <v>0</v>
      </c>
      <c r="AA111" s="759">
        <v>0</v>
      </c>
      <c r="AB111" s="759">
        <v>0</v>
      </c>
      <c r="AC111" s="759">
        <v>0</v>
      </c>
      <c r="AD111" s="759">
        <v>0</v>
      </c>
      <c r="AE111" s="759">
        <v>0</v>
      </c>
      <c r="AF111" s="759">
        <v>0</v>
      </c>
      <c r="AG111" s="760">
        <v>294.89999999999998</v>
      </c>
      <c r="AH111" s="707"/>
    </row>
    <row r="112" spans="1:34" ht="11.25" customHeight="1" x14ac:dyDescent="0.25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6"/>
      <c r="S112" s="575">
        <v>21</v>
      </c>
      <c r="T112" s="756" t="s">
        <v>462</v>
      </c>
      <c r="U112" s="761">
        <v>0</v>
      </c>
      <c r="V112" s="761">
        <v>0</v>
      </c>
      <c r="W112" s="761">
        <v>0</v>
      </c>
      <c r="X112" s="761">
        <v>0</v>
      </c>
      <c r="Y112" s="761">
        <v>0</v>
      </c>
      <c r="Z112" s="761">
        <v>0</v>
      </c>
      <c r="AA112" s="761">
        <v>0</v>
      </c>
      <c r="AB112" s="761">
        <v>0</v>
      </c>
      <c r="AC112" s="761">
        <v>401.92</v>
      </c>
      <c r="AD112" s="761">
        <v>0</v>
      </c>
      <c r="AE112" s="761">
        <v>0</v>
      </c>
      <c r="AF112" s="761">
        <v>0</v>
      </c>
      <c r="AG112" s="762">
        <v>401.92</v>
      </c>
    </row>
    <row r="113" spans="1:34" ht="11.25" customHeight="1" x14ac:dyDescent="0.2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6"/>
      <c r="S113" s="575"/>
      <c r="T113" s="758" t="s">
        <v>463</v>
      </c>
      <c r="U113" s="760">
        <v>643.72</v>
      </c>
      <c r="V113" s="760">
        <v>4472.3</v>
      </c>
      <c r="W113" s="760">
        <v>7670.28</v>
      </c>
      <c r="X113" s="760">
        <v>6345.08</v>
      </c>
      <c r="Y113" s="760">
        <v>59.02</v>
      </c>
      <c r="Z113" s="760">
        <v>6724.96</v>
      </c>
      <c r="AA113" s="760">
        <v>3670.39</v>
      </c>
      <c r="AB113" s="760">
        <v>3330.13</v>
      </c>
      <c r="AC113" s="760">
        <v>3732.05</v>
      </c>
      <c r="AD113" s="760">
        <v>5111.68</v>
      </c>
      <c r="AE113" s="760">
        <v>3609.13</v>
      </c>
      <c r="AF113" s="760">
        <v>3330.13</v>
      </c>
      <c r="AG113" s="760">
        <v>48698.87</v>
      </c>
      <c r="AH113" s="707"/>
    </row>
    <row r="114" spans="1:34" ht="11.25" customHeight="1" x14ac:dyDescent="0.2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6"/>
      <c r="S114" s="575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 s="707"/>
    </row>
    <row r="115" spans="1:34" ht="11.25" customHeight="1" x14ac:dyDescent="0.2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6"/>
      <c r="S115" s="575"/>
      <c r="T115" s="758" t="s">
        <v>464</v>
      </c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 s="707"/>
    </row>
    <row r="116" spans="1:34" ht="11.25" customHeight="1" x14ac:dyDescent="0.2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6"/>
      <c r="S116" s="575">
        <v>19</v>
      </c>
      <c r="T116" s="756" t="s">
        <v>465</v>
      </c>
      <c r="U116" s="759">
        <v>0</v>
      </c>
      <c r="V116" s="759">
        <v>0</v>
      </c>
      <c r="W116" s="759">
        <v>0</v>
      </c>
      <c r="X116" s="759">
        <v>0</v>
      </c>
      <c r="Y116" s="759">
        <v>0</v>
      </c>
      <c r="Z116" s="759">
        <v>0</v>
      </c>
      <c r="AA116" s="759">
        <v>0</v>
      </c>
      <c r="AB116" s="759">
        <v>37.9</v>
      </c>
      <c r="AC116" s="759">
        <v>0</v>
      </c>
      <c r="AD116" s="759">
        <v>0</v>
      </c>
      <c r="AE116" s="759">
        <v>0</v>
      </c>
      <c r="AF116" s="759">
        <v>84.78</v>
      </c>
      <c r="AG116" s="760">
        <v>122.68</v>
      </c>
      <c r="AH116" s="707"/>
    </row>
    <row r="117" spans="1:34" ht="11.25" customHeight="1" x14ac:dyDescent="0.2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6"/>
      <c r="S117" s="575">
        <v>22</v>
      </c>
      <c r="T117" s="756" t="s">
        <v>466</v>
      </c>
      <c r="U117" s="759">
        <v>0</v>
      </c>
      <c r="V117" s="759">
        <v>0</v>
      </c>
      <c r="W117" s="759">
        <v>0</v>
      </c>
      <c r="X117" s="759">
        <v>0</v>
      </c>
      <c r="Y117" s="759">
        <v>104.8</v>
      </c>
      <c r="Z117" s="759">
        <v>143.32</v>
      </c>
      <c r="AA117" s="759">
        <v>151.53</v>
      </c>
      <c r="AB117" s="759">
        <v>18.32</v>
      </c>
      <c r="AC117" s="759">
        <v>17.8</v>
      </c>
      <c r="AD117" s="759">
        <v>0</v>
      </c>
      <c r="AE117" s="759">
        <v>105.97</v>
      </c>
      <c r="AF117" s="759">
        <v>-2.02</v>
      </c>
      <c r="AG117" s="760">
        <v>539.72</v>
      </c>
      <c r="AH117" s="707"/>
    </row>
    <row r="118" spans="1:34" ht="11.25" customHeight="1" x14ac:dyDescent="0.2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6"/>
      <c r="S118" s="575">
        <v>21</v>
      </c>
      <c r="T118" s="756" t="s">
        <v>467</v>
      </c>
      <c r="U118" s="759">
        <v>0</v>
      </c>
      <c r="V118" s="759">
        <v>0</v>
      </c>
      <c r="W118" s="759">
        <v>65.849999999999994</v>
      </c>
      <c r="X118" s="759">
        <v>24.48</v>
      </c>
      <c r="Y118" s="759">
        <v>0</v>
      </c>
      <c r="Z118" s="759">
        <v>0</v>
      </c>
      <c r="AA118" s="759">
        <v>8.89</v>
      </c>
      <c r="AB118" s="759">
        <v>9.49</v>
      </c>
      <c r="AC118" s="759">
        <v>104.12</v>
      </c>
      <c r="AD118" s="759">
        <v>168.55</v>
      </c>
      <c r="AE118" s="759">
        <v>191.94</v>
      </c>
      <c r="AF118" s="759">
        <v>0</v>
      </c>
      <c r="AG118" s="760">
        <v>573.32000000000005</v>
      </c>
      <c r="AH118" s="707"/>
    </row>
    <row r="119" spans="1:34" ht="11.25" customHeight="1" x14ac:dyDescent="0.25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6"/>
      <c r="S119" s="575">
        <v>21</v>
      </c>
      <c r="T119" s="756" t="s">
        <v>468</v>
      </c>
      <c r="U119" s="759">
        <v>134.22</v>
      </c>
      <c r="V119" s="759">
        <v>341.74</v>
      </c>
      <c r="W119" s="759">
        <v>190.97</v>
      </c>
      <c r="X119" s="759">
        <v>193.26</v>
      </c>
      <c r="Y119" s="759">
        <v>201.57</v>
      </c>
      <c r="Z119" s="759">
        <v>93.47</v>
      </c>
      <c r="AA119" s="759">
        <v>0</v>
      </c>
      <c r="AB119" s="759">
        <v>154.33000000000001</v>
      </c>
      <c r="AC119" s="759">
        <v>291.37</v>
      </c>
      <c r="AD119" s="759">
        <v>0</v>
      </c>
      <c r="AE119" s="759">
        <v>337.97</v>
      </c>
      <c r="AF119" s="759">
        <v>-82.52</v>
      </c>
      <c r="AG119" s="760">
        <v>1856.38</v>
      </c>
    </row>
    <row r="120" spans="1:34" ht="11.25" customHeight="1" x14ac:dyDescent="0.2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6"/>
      <c r="S120" s="575">
        <v>21</v>
      </c>
      <c r="T120" s="756" t="s">
        <v>469</v>
      </c>
      <c r="U120" s="759">
        <v>0</v>
      </c>
      <c r="V120" s="759">
        <v>0</v>
      </c>
      <c r="W120" s="759">
        <v>0</v>
      </c>
      <c r="X120" s="759">
        <v>0</v>
      </c>
      <c r="Y120" s="759">
        <v>66.59</v>
      </c>
      <c r="Z120" s="759">
        <v>0</v>
      </c>
      <c r="AA120" s="759">
        <v>164.01</v>
      </c>
      <c r="AB120" s="759">
        <v>0</v>
      </c>
      <c r="AC120" s="759">
        <v>478.21</v>
      </c>
      <c r="AD120" s="759">
        <v>0</v>
      </c>
      <c r="AE120" s="759">
        <v>71.19</v>
      </c>
      <c r="AF120" s="759">
        <v>67.98</v>
      </c>
      <c r="AG120" s="760">
        <v>847.98</v>
      </c>
      <c r="AH120" s="711"/>
    </row>
    <row r="121" spans="1:34" ht="11.25" customHeight="1" x14ac:dyDescent="0.2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6"/>
      <c r="S121" s="575">
        <v>20</v>
      </c>
      <c r="T121" s="756" t="s">
        <v>470</v>
      </c>
      <c r="U121" s="759">
        <v>0</v>
      </c>
      <c r="V121" s="759">
        <v>0</v>
      </c>
      <c r="W121" s="759">
        <v>0</v>
      </c>
      <c r="X121" s="759">
        <v>0</v>
      </c>
      <c r="Y121" s="759">
        <v>0</v>
      </c>
      <c r="Z121" s="759">
        <v>0</v>
      </c>
      <c r="AA121" s="759">
        <v>200.34</v>
      </c>
      <c r="AB121" s="759">
        <v>0</v>
      </c>
      <c r="AC121" s="759">
        <v>233.8</v>
      </c>
      <c r="AD121" s="759">
        <v>270.52</v>
      </c>
      <c r="AE121" s="759">
        <v>0</v>
      </c>
      <c r="AF121" s="759">
        <v>0</v>
      </c>
      <c r="AG121" s="760">
        <v>704.66</v>
      </c>
      <c r="AH121" s="710"/>
    </row>
    <row r="122" spans="1:34" ht="11.25" customHeight="1" x14ac:dyDescent="0.2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6"/>
      <c r="S122" s="575">
        <v>20</v>
      </c>
      <c r="T122" s="756" t="s">
        <v>471</v>
      </c>
      <c r="U122" s="759">
        <v>166.37</v>
      </c>
      <c r="V122" s="759">
        <v>139.16</v>
      </c>
      <c r="W122" s="759">
        <v>158.97</v>
      </c>
      <c r="X122" s="759">
        <v>0</v>
      </c>
      <c r="Y122" s="759">
        <v>0</v>
      </c>
      <c r="Z122" s="759">
        <v>29.09</v>
      </c>
      <c r="AA122" s="759">
        <v>657.52</v>
      </c>
      <c r="AB122" s="759">
        <v>383.61</v>
      </c>
      <c r="AC122" s="759">
        <v>0</v>
      </c>
      <c r="AD122" s="759">
        <v>45.97</v>
      </c>
      <c r="AE122" s="759">
        <v>69.540000000000006</v>
      </c>
      <c r="AF122" s="759">
        <v>157.08000000000001</v>
      </c>
      <c r="AG122" s="760">
        <v>1807.31</v>
      </c>
      <c r="AH122" s="711"/>
    </row>
    <row r="123" spans="1:34" ht="11.25" customHeight="1" x14ac:dyDescent="0.2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6"/>
      <c r="S123" s="575">
        <v>21</v>
      </c>
      <c r="T123" s="756" t="s">
        <v>472</v>
      </c>
      <c r="U123" s="759">
        <v>0</v>
      </c>
      <c r="V123" s="759">
        <v>0</v>
      </c>
      <c r="W123" s="759">
        <v>0</v>
      </c>
      <c r="X123" s="759">
        <v>0</v>
      </c>
      <c r="Y123" s="759">
        <v>0</v>
      </c>
      <c r="Z123" s="759">
        <v>0</v>
      </c>
      <c r="AA123" s="759">
        <v>0</v>
      </c>
      <c r="AB123" s="759">
        <v>0</v>
      </c>
      <c r="AC123" s="759">
        <v>0</v>
      </c>
      <c r="AD123" s="759">
        <v>0</v>
      </c>
      <c r="AE123" s="759">
        <v>0</v>
      </c>
      <c r="AF123" s="759">
        <v>186.19</v>
      </c>
      <c r="AG123" s="760">
        <v>186.19</v>
      </c>
      <c r="AH123" s="707"/>
    </row>
    <row r="124" spans="1:34" ht="11.25" customHeight="1" x14ac:dyDescent="0.25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6"/>
      <c r="S124" s="575">
        <v>21</v>
      </c>
      <c r="T124" s="756" t="s">
        <v>473</v>
      </c>
      <c r="U124" s="759">
        <v>0</v>
      </c>
      <c r="V124" s="759">
        <v>0</v>
      </c>
      <c r="W124" s="759">
        <v>0</v>
      </c>
      <c r="X124" s="759">
        <v>0</v>
      </c>
      <c r="Y124" s="759">
        <v>39.44</v>
      </c>
      <c r="Z124" s="759">
        <v>121.86</v>
      </c>
      <c r="AA124" s="759">
        <v>0</v>
      </c>
      <c r="AB124" s="759">
        <v>0</v>
      </c>
      <c r="AC124" s="759">
        <v>189.8</v>
      </c>
      <c r="AD124" s="759">
        <v>30.07</v>
      </c>
      <c r="AE124" s="759">
        <v>58</v>
      </c>
      <c r="AF124" s="759">
        <v>-29</v>
      </c>
      <c r="AG124" s="760">
        <v>410.17</v>
      </c>
    </row>
    <row r="125" spans="1:34" ht="11.25" customHeight="1" x14ac:dyDescent="0.25">
      <c r="A125" s="575"/>
      <c r="B125" s="575"/>
      <c r="C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6"/>
      <c r="S125" s="575">
        <v>21</v>
      </c>
      <c r="T125" s="756" t="s">
        <v>474</v>
      </c>
      <c r="U125" s="759">
        <v>0</v>
      </c>
      <c r="V125" s="759">
        <v>0</v>
      </c>
      <c r="W125" s="759">
        <v>0</v>
      </c>
      <c r="X125" s="759">
        <v>64.55</v>
      </c>
      <c r="Y125" s="759">
        <v>127.74</v>
      </c>
      <c r="Z125" s="759">
        <v>0</v>
      </c>
      <c r="AA125" s="759">
        <v>0</v>
      </c>
      <c r="AB125" s="759">
        <v>164.53</v>
      </c>
      <c r="AC125" s="759">
        <v>0</v>
      </c>
      <c r="AD125" s="759">
        <v>86.71</v>
      </c>
      <c r="AE125" s="759">
        <v>128.21</v>
      </c>
      <c r="AF125" s="759">
        <v>41.66</v>
      </c>
      <c r="AG125" s="760">
        <v>613.4</v>
      </c>
    </row>
    <row r="126" spans="1:34" ht="11.25" customHeight="1" x14ac:dyDescent="0.25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6"/>
      <c r="S126" s="575">
        <v>21</v>
      </c>
      <c r="T126" s="756" t="s">
        <v>475</v>
      </c>
      <c r="U126" s="759">
        <v>0</v>
      </c>
      <c r="V126" s="759">
        <v>12.8</v>
      </c>
      <c r="W126" s="759">
        <v>0</v>
      </c>
      <c r="X126" s="759">
        <v>0</v>
      </c>
      <c r="Y126" s="759">
        <v>53.54</v>
      </c>
      <c r="Z126" s="759">
        <v>0</v>
      </c>
      <c r="AA126" s="759">
        <v>0</v>
      </c>
      <c r="AB126" s="759">
        <v>0</v>
      </c>
      <c r="AC126" s="759">
        <v>53.42</v>
      </c>
      <c r="AD126" s="759">
        <v>0</v>
      </c>
      <c r="AE126" s="759">
        <v>0</v>
      </c>
      <c r="AF126" s="759">
        <v>0</v>
      </c>
      <c r="AG126" s="760">
        <v>119.76</v>
      </c>
    </row>
    <row r="127" spans="1:34" ht="11.25" customHeight="1" x14ac:dyDescent="0.25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6"/>
      <c r="S127" s="575">
        <v>22</v>
      </c>
      <c r="T127" s="756" t="s">
        <v>476</v>
      </c>
      <c r="U127" s="761">
        <v>30.06</v>
      </c>
      <c r="V127" s="761">
        <v>9.2799999999999994</v>
      </c>
      <c r="W127" s="761">
        <v>0</v>
      </c>
      <c r="X127" s="761">
        <v>0</v>
      </c>
      <c r="Y127" s="761">
        <v>0</v>
      </c>
      <c r="Z127" s="761">
        <v>0</v>
      </c>
      <c r="AA127" s="761">
        <v>0</v>
      </c>
      <c r="AB127" s="761">
        <v>0</v>
      </c>
      <c r="AC127" s="761">
        <v>0</v>
      </c>
      <c r="AD127" s="761">
        <v>0</v>
      </c>
      <c r="AE127" s="761">
        <v>0</v>
      </c>
      <c r="AF127" s="761">
        <v>0</v>
      </c>
      <c r="AG127" s="762">
        <v>39.340000000000003</v>
      </c>
    </row>
    <row r="128" spans="1:34" ht="11.25" customHeight="1" x14ac:dyDescent="0.25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6"/>
      <c r="S128" s="575"/>
      <c r="T128" s="758" t="s">
        <v>477</v>
      </c>
      <c r="U128" s="762">
        <v>330.65</v>
      </c>
      <c r="V128" s="762">
        <v>502.98</v>
      </c>
      <c r="W128" s="762">
        <v>415.79</v>
      </c>
      <c r="X128" s="762">
        <v>282.29000000000002</v>
      </c>
      <c r="Y128" s="762">
        <v>593.67999999999995</v>
      </c>
      <c r="Z128" s="762">
        <v>387.74</v>
      </c>
      <c r="AA128" s="762">
        <v>1182.29</v>
      </c>
      <c r="AB128" s="762">
        <v>768.18</v>
      </c>
      <c r="AC128" s="762">
        <v>1368.52</v>
      </c>
      <c r="AD128" s="762">
        <v>601.82000000000005</v>
      </c>
      <c r="AE128" s="762">
        <v>962.82</v>
      </c>
      <c r="AF128" s="762">
        <v>424.15</v>
      </c>
      <c r="AG128" s="762">
        <v>7820.91</v>
      </c>
    </row>
    <row r="129" spans="1:34" ht="11.25" customHeight="1" x14ac:dyDescent="0.25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6"/>
      <c r="S129" s="575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4" ht="11.25" customHeight="1" x14ac:dyDescent="0.2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6"/>
      <c r="S130" s="575"/>
      <c r="T130" s="756" t="s">
        <v>478</v>
      </c>
      <c r="U130" s="759">
        <v>15540.34</v>
      </c>
      <c r="V130" s="759">
        <v>23719.8</v>
      </c>
      <c r="W130" s="759">
        <v>26001.27</v>
      </c>
      <c r="X130" s="759">
        <v>22487.56</v>
      </c>
      <c r="Y130" s="759">
        <v>16833.22</v>
      </c>
      <c r="Z130" s="759">
        <v>21055.919999999998</v>
      </c>
      <c r="AA130" s="759">
        <v>20588.43</v>
      </c>
      <c r="AB130" s="759">
        <v>19998.21</v>
      </c>
      <c r="AC130" s="759">
        <v>19216.46</v>
      </c>
      <c r="AD130" s="759">
        <v>28387.68</v>
      </c>
      <c r="AE130" s="759">
        <v>20814.419999999998</v>
      </c>
      <c r="AF130" s="759">
        <v>18848.05</v>
      </c>
      <c r="AG130" s="760">
        <v>253491.36</v>
      </c>
      <c r="AH130" s="711"/>
    </row>
    <row r="131" spans="1:34" ht="11.25" customHeight="1" x14ac:dyDescent="0.25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6"/>
      <c r="S131" s="575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4" ht="11.25" customHeight="1" x14ac:dyDescent="0.2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6"/>
      <c r="S132" s="575"/>
      <c r="T132" s="758" t="s">
        <v>479</v>
      </c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 s="707"/>
    </row>
    <row r="133" spans="1:34" ht="11.25" customHeight="1" x14ac:dyDescent="0.25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6"/>
      <c r="S133" s="575">
        <v>24</v>
      </c>
      <c r="T133" s="756" t="s">
        <v>480</v>
      </c>
      <c r="U133" s="759">
        <v>3347.36</v>
      </c>
      <c r="V133" s="759">
        <v>3790.39</v>
      </c>
      <c r="W133" s="759">
        <v>3444.62</v>
      </c>
      <c r="X133" s="759">
        <v>3666.08</v>
      </c>
      <c r="Y133" s="759">
        <v>3073.57</v>
      </c>
      <c r="Z133" s="759">
        <v>3129.42</v>
      </c>
      <c r="AA133" s="759">
        <v>3241.65</v>
      </c>
      <c r="AB133" s="759">
        <v>3624.34</v>
      </c>
      <c r="AC133" s="759">
        <v>3284.23</v>
      </c>
      <c r="AD133" s="759">
        <v>3004.72</v>
      </c>
      <c r="AE133" s="759">
        <v>3687.39</v>
      </c>
      <c r="AF133" s="759">
        <v>3993.4</v>
      </c>
      <c r="AG133" s="760">
        <v>41287.17</v>
      </c>
    </row>
    <row r="134" spans="1:34" ht="11.25" customHeight="1" x14ac:dyDescent="0.2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6"/>
      <c r="S134" s="575">
        <v>24</v>
      </c>
      <c r="T134" s="756" t="s">
        <v>481</v>
      </c>
      <c r="U134" s="759">
        <v>456.21</v>
      </c>
      <c r="V134" s="759">
        <v>635.54999999999995</v>
      </c>
      <c r="W134" s="759">
        <v>942.03</v>
      </c>
      <c r="X134" s="759">
        <v>626.89</v>
      </c>
      <c r="Y134" s="759">
        <v>379.06</v>
      </c>
      <c r="Z134" s="759">
        <v>514.54999999999995</v>
      </c>
      <c r="AA134" s="759">
        <v>383.09</v>
      </c>
      <c r="AB134" s="759">
        <v>293.27</v>
      </c>
      <c r="AC134" s="759">
        <v>330.66</v>
      </c>
      <c r="AD134" s="759">
        <v>316.91000000000003</v>
      </c>
      <c r="AE134" s="759">
        <v>331.85</v>
      </c>
      <c r="AF134" s="759">
        <v>308.36</v>
      </c>
      <c r="AG134" s="760">
        <v>5518.43</v>
      </c>
      <c r="AH134" s="707"/>
    </row>
    <row r="135" spans="1:34" ht="11.25" customHeight="1" x14ac:dyDescent="0.2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6"/>
      <c r="S135" s="575">
        <v>24</v>
      </c>
      <c r="T135" s="756" t="s">
        <v>482</v>
      </c>
      <c r="U135" s="759">
        <v>101.94</v>
      </c>
      <c r="V135" s="759">
        <v>227.53</v>
      </c>
      <c r="W135" s="759">
        <v>392.18</v>
      </c>
      <c r="X135" s="759">
        <v>437.61</v>
      </c>
      <c r="Y135" s="759">
        <v>222.4</v>
      </c>
      <c r="Z135" s="759">
        <v>141.49</v>
      </c>
      <c r="AA135" s="759">
        <v>130.38999999999999</v>
      </c>
      <c r="AB135" s="759">
        <v>52.87</v>
      </c>
      <c r="AC135" s="759">
        <v>41.21</v>
      </c>
      <c r="AD135" s="759">
        <v>23.13</v>
      </c>
      <c r="AE135" s="759">
        <v>11.36</v>
      </c>
      <c r="AF135" s="759">
        <v>18.37</v>
      </c>
      <c r="AG135" s="760">
        <v>1800.48</v>
      </c>
      <c r="AH135" s="707"/>
    </row>
    <row r="136" spans="1:34" ht="11.25" customHeight="1" x14ac:dyDescent="0.2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6"/>
      <c r="S136" s="575">
        <v>24</v>
      </c>
      <c r="T136" s="756" t="s">
        <v>483</v>
      </c>
      <c r="U136" s="759">
        <v>40.47</v>
      </c>
      <c r="V136" s="759">
        <v>60.84</v>
      </c>
      <c r="W136" s="759">
        <v>219.83</v>
      </c>
      <c r="X136" s="759">
        <v>205.66</v>
      </c>
      <c r="Y136" s="759">
        <v>198.91</v>
      </c>
      <c r="Z136" s="759">
        <v>214.87</v>
      </c>
      <c r="AA136" s="759">
        <v>118.76</v>
      </c>
      <c r="AB136" s="759">
        <v>81.59</v>
      </c>
      <c r="AC136" s="759">
        <v>103.12</v>
      </c>
      <c r="AD136" s="759">
        <v>103.49</v>
      </c>
      <c r="AE136" s="759">
        <v>113.24</v>
      </c>
      <c r="AF136" s="759">
        <v>60.16</v>
      </c>
      <c r="AG136" s="760">
        <v>1520.94</v>
      </c>
      <c r="AH136" s="707"/>
    </row>
    <row r="137" spans="1:34" ht="11.25" customHeight="1" x14ac:dyDescent="0.25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6"/>
      <c r="S137" s="575">
        <v>24</v>
      </c>
      <c r="T137" s="756" t="s">
        <v>484</v>
      </c>
      <c r="U137" s="759">
        <v>2477.91</v>
      </c>
      <c r="V137" s="759">
        <v>774.36</v>
      </c>
      <c r="W137" s="759">
        <v>2768.93</v>
      </c>
      <c r="X137" s="759">
        <v>1508.75</v>
      </c>
      <c r="Y137" s="759">
        <v>2406.3200000000002</v>
      </c>
      <c r="Z137" s="759">
        <v>2338.94</v>
      </c>
      <c r="AA137" s="759">
        <v>2557.35</v>
      </c>
      <c r="AB137" s="759">
        <v>2453.89</v>
      </c>
      <c r="AC137" s="759">
        <v>3131.49</v>
      </c>
      <c r="AD137" s="759">
        <v>3028.05</v>
      </c>
      <c r="AE137" s="759">
        <v>2816.7</v>
      </c>
      <c r="AF137" s="759">
        <v>2602.81</v>
      </c>
      <c r="AG137" s="760">
        <v>28865.5</v>
      </c>
    </row>
    <row r="138" spans="1:34" ht="11.25" customHeight="1" x14ac:dyDescent="0.25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6"/>
      <c r="S138" s="575">
        <v>24</v>
      </c>
      <c r="T138" s="756" t="s">
        <v>485</v>
      </c>
      <c r="U138" s="759">
        <v>3653.5</v>
      </c>
      <c r="V138" s="759">
        <v>3507.75</v>
      </c>
      <c r="W138" s="759">
        <v>1189</v>
      </c>
      <c r="X138" s="759">
        <v>4139.55</v>
      </c>
      <c r="Y138" s="759">
        <v>2481.65</v>
      </c>
      <c r="Z138" s="759">
        <v>2933.15</v>
      </c>
      <c r="AA138" s="759">
        <v>3031.5</v>
      </c>
      <c r="AB138" s="759">
        <v>3298.45</v>
      </c>
      <c r="AC138" s="759">
        <v>3172</v>
      </c>
      <c r="AD138" s="759">
        <v>4000.95</v>
      </c>
      <c r="AE138" s="759">
        <v>3874.5</v>
      </c>
      <c r="AF138" s="759">
        <v>3579.45</v>
      </c>
      <c r="AG138" s="760">
        <v>38861.449999999997</v>
      </c>
    </row>
    <row r="139" spans="1:34" ht="11.25" customHeight="1" x14ac:dyDescent="0.25">
      <c r="A139" s="575"/>
      <c r="B139" s="575"/>
      <c r="C139" s="575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6"/>
      <c r="S139" s="575">
        <v>24</v>
      </c>
      <c r="T139" s="756" t="s">
        <v>486</v>
      </c>
      <c r="U139" s="761">
        <v>218.3</v>
      </c>
      <c r="V139" s="761">
        <v>227.4</v>
      </c>
      <c r="W139" s="761">
        <v>226.25</v>
      </c>
      <c r="X139" s="761">
        <v>233.3</v>
      </c>
      <c r="Y139" s="761">
        <v>221.64</v>
      </c>
      <c r="Z139" s="761">
        <v>243.43</v>
      </c>
      <c r="AA139" s="761">
        <v>221.25</v>
      </c>
      <c r="AB139" s="761">
        <v>231.25</v>
      </c>
      <c r="AC139" s="761">
        <v>234.2</v>
      </c>
      <c r="AD139" s="761">
        <v>237.15</v>
      </c>
      <c r="AE139" s="761">
        <v>227.15</v>
      </c>
      <c r="AF139" s="761">
        <v>247.15</v>
      </c>
      <c r="AG139" s="762">
        <v>2768.47</v>
      </c>
    </row>
    <row r="140" spans="1:34" ht="11.25" customHeight="1" x14ac:dyDescent="0.25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6"/>
      <c r="S140" s="575"/>
      <c r="T140" s="758" t="s">
        <v>487</v>
      </c>
      <c r="U140" s="760">
        <v>10295.69</v>
      </c>
      <c r="V140" s="760">
        <v>9223.82</v>
      </c>
      <c r="W140" s="760">
        <v>9182.84</v>
      </c>
      <c r="X140" s="760">
        <v>10817.84</v>
      </c>
      <c r="Y140" s="760">
        <v>8983.5499999999993</v>
      </c>
      <c r="Z140" s="760">
        <v>9515.85</v>
      </c>
      <c r="AA140" s="760">
        <v>9683.99</v>
      </c>
      <c r="AB140" s="760">
        <v>10035.66</v>
      </c>
      <c r="AC140" s="760">
        <v>10296.91</v>
      </c>
      <c r="AD140" s="760">
        <v>10714.4</v>
      </c>
      <c r="AE140" s="760">
        <v>11062.19</v>
      </c>
      <c r="AF140" s="760">
        <v>10809.7</v>
      </c>
      <c r="AG140" s="760">
        <v>120622.44</v>
      </c>
    </row>
    <row r="141" spans="1:34" ht="11.25" customHeight="1" x14ac:dyDescent="0.2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6"/>
      <c r="S141" s="575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 s="703"/>
    </row>
    <row r="142" spans="1:34" ht="11.25" customHeight="1" x14ac:dyDescent="0.25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6"/>
      <c r="S142" s="575"/>
      <c r="T142" s="758" t="s">
        <v>488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4" ht="11.25" customHeight="1" x14ac:dyDescent="0.25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6"/>
      <c r="S143" s="575">
        <v>30</v>
      </c>
      <c r="T143" s="756" t="s">
        <v>489</v>
      </c>
      <c r="U143" s="759">
        <v>7382.67</v>
      </c>
      <c r="V143" s="759">
        <v>7382.63</v>
      </c>
      <c r="W143" s="759">
        <v>7910</v>
      </c>
      <c r="X143" s="759">
        <v>7910</v>
      </c>
      <c r="Y143" s="759">
        <v>7910</v>
      </c>
      <c r="Z143" s="759">
        <v>7910</v>
      </c>
      <c r="AA143" s="759">
        <v>11772.8</v>
      </c>
      <c r="AB143" s="759">
        <v>7910</v>
      </c>
      <c r="AC143" s="759">
        <v>7910</v>
      </c>
      <c r="AD143" s="759">
        <v>-171.48</v>
      </c>
      <c r="AE143" s="759">
        <v>7382.67</v>
      </c>
      <c r="AF143" s="759">
        <v>7382.67</v>
      </c>
      <c r="AG143" s="760">
        <v>88591.96</v>
      </c>
    </row>
    <row r="144" spans="1:34" ht="11.25" customHeight="1" x14ac:dyDescent="0.25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6"/>
      <c r="S144" s="575">
        <v>18</v>
      </c>
      <c r="T144" s="756" t="s">
        <v>490</v>
      </c>
      <c r="U144" s="761">
        <v>0</v>
      </c>
      <c r="V144" s="761">
        <v>0</v>
      </c>
      <c r="W144" s="761">
        <v>0</v>
      </c>
      <c r="X144" s="761">
        <v>0</v>
      </c>
      <c r="Y144" s="761">
        <v>0</v>
      </c>
      <c r="Z144" s="761">
        <v>0</v>
      </c>
      <c r="AA144" s="761">
        <v>0</v>
      </c>
      <c r="AB144" s="761">
        <v>0</v>
      </c>
      <c r="AC144" s="761">
        <v>500</v>
      </c>
      <c r="AD144" s="761">
        <v>0</v>
      </c>
      <c r="AE144" s="761">
        <v>0</v>
      </c>
      <c r="AF144" s="761">
        <v>0</v>
      </c>
      <c r="AG144" s="762">
        <v>500</v>
      </c>
    </row>
    <row r="145" spans="1:34" ht="11.25" customHeight="1" x14ac:dyDescent="0.2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6"/>
      <c r="S145" s="575"/>
      <c r="T145" s="758" t="s">
        <v>491</v>
      </c>
      <c r="U145" s="760">
        <v>7382.67</v>
      </c>
      <c r="V145" s="760">
        <v>7382.63</v>
      </c>
      <c r="W145" s="760">
        <v>7910</v>
      </c>
      <c r="X145" s="760">
        <v>7910</v>
      </c>
      <c r="Y145" s="760">
        <v>7910</v>
      </c>
      <c r="Z145" s="760">
        <v>7910</v>
      </c>
      <c r="AA145" s="760">
        <v>11772.8</v>
      </c>
      <c r="AB145" s="760">
        <v>7910</v>
      </c>
      <c r="AC145" s="760">
        <v>8410</v>
      </c>
      <c r="AD145" s="760">
        <v>-171.48</v>
      </c>
      <c r="AE145" s="760">
        <v>7382.67</v>
      </c>
      <c r="AF145" s="760">
        <v>7382.67</v>
      </c>
      <c r="AG145" s="760">
        <v>89091.96</v>
      </c>
      <c r="AH145" s="706"/>
    </row>
    <row r="146" spans="1:34" ht="11.25" customHeight="1" x14ac:dyDescent="0.2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6"/>
      <c r="S146" s="575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 s="711"/>
    </row>
    <row r="147" spans="1:34" ht="11.25" customHeight="1" x14ac:dyDescent="0.25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6"/>
      <c r="S147" s="575"/>
      <c r="T147" s="758" t="s">
        <v>492</v>
      </c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4" ht="11.25" customHeight="1" x14ac:dyDescent="0.2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6"/>
      <c r="S148" s="575">
        <v>29</v>
      </c>
      <c r="T148" s="756" t="s">
        <v>493</v>
      </c>
      <c r="U148" s="759">
        <v>1100.51</v>
      </c>
      <c r="V148" s="759">
        <v>854.18</v>
      </c>
      <c r="W148" s="759">
        <v>854.18</v>
      </c>
      <c r="X148" s="759">
        <v>854.18</v>
      </c>
      <c r="Y148" s="759">
        <v>854.18</v>
      </c>
      <c r="Z148" s="759">
        <v>854.18</v>
      </c>
      <c r="AA148" s="759">
        <v>854.18</v>
      </c>
      <c r="AB148" s="759">
        <v>854.18</v>
      </c>
      <c r="AC148" s="759">
        <v>854.18</v>
      </c>
      <c r="AD148" s="759">
        <v>854.18</v>
      </c>
      <c r="AE148" s="759">
        <v>854.12</v>
      </c>
      <c r="AF148" s="759">
        <v>1025.02</v>
      </c>
      <c r="AG148" s="760">
        <v>10667.27</v>
      </c>
      <c r="AH148" s="711"/>
    </row>
    <row r="149" spans="1:34" ht="11.25" customHeight="1" x14ac:dyDescent="0.2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6"/>
      <c r="S149" s="575">
        <v>29</v>
      </c>
      <c r="T149" s="756" t="s">
        <v>494</v>
      </c>
      <c r="U149" s="761">
        <v>1311.01</v>
      </c>
      <c r="V149" s="761">
        <v>1394.26</v>
      </c>
      <c r="W149" s="761">
        <v>1311.13</v>
      </c>
      <c r="X149" s="761">
        <v>1338.68</v>
      </c>
      <c r="Y149" s="761">
        <v>1311.01</v>
      </c>
      <c r="Z149" s="761">
        <v>1366.62</v>
      </c>
      <c r="AA149" s="761">
        <v>2900.86</v>
      </c>
      <c r="AB149" s="761">
        <v>2953.07</v>
      </c>
      <c r="AC149" s="761">
        <v>2898.74</v>
      </c>
      <c r="AD149" s="761">
        <v>2898.75</v>
      </c>
      <c r="AE149" s="761">
        <v>2898.75</v>
      </c>
      <c r="AF149" s="761">
        <v>2898.75</v>
      </c>
      <c r="AG149" s="762">
        <v>25481.63</v>
      </c>
      <c r="AH149" s="707"/>
    </row>
    <row r="150" spans="1:34" ht="11.25" customHeight="1" x14ac:dyDescent="0.25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6"/>
      <c r="S150" s="575"/>
      <c r="T150" s="758" t="s">
        <v>495</v>
      </c>
      <c r="U150" s="760">
        <v>2411.52</v>
      </c>
      <c r="V150" s="760">
        <v>2248.44</v>
      </c>
      <c r="W150" s="760">
        <v>2165.31</v>
      </c>
      <c r="X150" s="760">
        <v>2192.86</v>
      </c>
      <c r="Y150" s="760">
        <v>2165.19</v>
      </c>
      <c r="Z150" s="760">
        <v>2220.8000000000002</v>
      </c>
      <c r="AA150" s="760">
        <v>3755.04</v>
      </c>
      <c r="AB150" s="760">
        <v>3807.25</v>
      </c>
      <c r="AC150" s="760">
        <v>3752.92</v>
      </c>
      <c r="AD150" s="760">
        <v>3752.93</v>
      </c>
      <c r="AE150" s="760">
        <v>3752.87</v>
      </c>
      <c r="AF150" s="760">
        <v>3923.77</v>
      </c>
      <c r="AG150" s="760">
        <v>36148.9</v>
      </c>
    </row>
    <row r="151" spans="1:34" ht="11.25" customHeight="1" x14ac:dyDescent="0.2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6"/>
      <c r="S151" s="575"/>
      <c r="T151"/>
      <c r="U151" s="763"/>
      <c r="V151" s="763"/>
      <c r="W151" s="763"/>
      <c r="X151" s="763"/>
      <c r="Y151" s="763"/>
      <c r="Z151" s="763"/>
      <c r="AA151" s="763"/>
      <c r="AB151" s="763"/>
      <c r="AC151" s="763"/>
      <c r="AD151" s="763"/>
      <c r="AE151" s="763"/>
      <c r="AF151" s="763"/>
      <c r="AG151" s="763"/>
      <c r="AH151" s="711"/>
    </row>
    <row r="152" spans="1:34" ht="11.25" customHeight="1" x14ac:dyDescent="0.2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6"/>
      <c r="S152" s="575"/>
      <c r="T152" s="758" t="s">
        <v>496</v>
      </c>
      <c r="U152" s="760">
        <v>20089.88</v>
      </c>
      <c r="V152" s="760">
        <v>18854.89</v>
      </c>
      <c r="W152" s="760">
        <v>19258.150000000001</v>
      </c>
      <c r="X152" s="760">
        <v>20920.7</v>
      </c>
      <c r="Y152" s="760">
        <v>19058.740000000002</v>
      </c>
      <c r="Z152" s="760">
        <v>19646.650000000001</v>
      </c>
      <c r="AA152" s="760">
        <v>25211.83</v>
      </c>
      <c r="AB152" s="760">
        <v>21752.91</v>
      </c>
      <c r="AC152" s="760">
        <v>22459.83</v>
      </c>
      <c r="AD152" s="760">
        <v>14295.85</v>
      </c>
      <c r="AE152" s="760">
        <v>22197.73</v>
      </c>
      <c r="AF152" s="760">
        <v>22116.14</v>
      </c>
      <c r="AG152" s="760">
        <v>245863.3</v>
      </c>
      <c r="AH152" s="707"/>
    </row>
    <row r="153" spans="1:34" ht="11.25" customHeight="1" x14ac:dyDescent="0.25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6"/>
      <c r="S153" s="575"/>
      <c r="T153" s="764"/>
      <c r="U153" s="764"/>
      <c r="V153" s="764"/>
      <c r="W153" s="764"/>
      <c r="X153" s="764"/>
      <c r="Y153" s="764"/>
      <c r="Z153" s="764"/>
      <c r="AA153" s="764"/>
      <c r="AB153" s="764"/>
      <c r="AC153" s="764"/>
      <c r="AD153" s="764"/>
      <c r="AE153" s="764"/>
      <c r="AF153" s="764"/>
      <c r="AG153" s="764"/>
    </row>
    <row r="154" spans="1:34" ht="11.25" customHeight="1" x14ac:dyDescent="0.25">
      <c r="T154" s="758" t="s">
        <v>497</v>
      </c>
      <c r="U154" s="760">
        <v>35630.22</v>
      </c>
      <c r="V154" s="760">
        <v>42574.69</v>
      </c>
      <c r="W154" s="760">
        <v>45259.42</v>
      </c>
      <c r="X154" s="760">
        <v>43408.26</v>
      </c>
      <c r="Y154" s="760">
        <v>35891.96</v>
      </c>
      <c r="Z154" s="760">
        <v>40702.57</v>
      </c>
      <c r="AA154" s="760">
        <v>45800.26</v>
      </c>
      <c r="AB154" s="760">
        <v>41751.120000000003</v>
      </c>
      <c r="AC154" s="760">
        <v>41676.29</v>
      </c>
      <c r="AD154" s="760">
        <v>42683.53</v>
      </c>
      <c r="AE154" s="760">
        <v>43012.15</v>
      </c>
      <c r="AF154" s="760">
        <v>40964.19</v>
      </c>
      <c r="AG154" s="760">
        <v>499354.66</v>
      </c>
    </row>
    <row r="155" spans="1:34" ht="11.25" customHeight="1" x14ac:dyDescent="0.25">
      <c r="T155" s="764"/>
      <c r="U155" s="765"/>
      <c r="V155" s="765"/>
      <c r="W155" s="765"/>
      <c r="X155" s="765"/>
      <c r="Y155" s="765"/>
      <c r="Z155" s="765"/>
      <c r="AA155" s="765"/>
      <c r="AB155" s="765"/>
      <c r="AC155" s="765"/>
      <c r="AD155" s="765"/>
      <c r="AE155" s="765"/>
      <c r="AF155" s="765"/>
      <c r="AG155" s="765"/>
    </row>
    <row r="156" spans="1:34" ht="11.25" customHeight="1" x14ac:dyDescent="0.25">
      <c r="T156" s="758" t="s">
        <v>2</v>
      </c>
      <c r="U156" s="760">
        <v>38841.949999999997</v>
      </c>
      <c r="V156" s="760">
        <v>35400.160000000003</v>
      </c>
      <c r="W156" s="760">
        <v>27398.16</v>
      </c>
      <c r="X156" s="760">
        <v>35373.39</v>
      </c>
      <c r="Y156" s="760">
        <v>39595.93</v>
      </c>
      <c r="Z156" s="760">
        <v>36105.660000000003</v>
      </c>
      <c r="AA156" s="760">
        <v>39803.17</v>
      </c>
      <c r="AB156" s="760">
        <v>40572.839999999997</v>
      </c>
      <c r="AC156" s="760">
        <v>37804.25</v>
      </c>
      <c r="AD156" s="760">
        <v>39467.97</v>
      </c>
      <c r="AE156" s="760">
        <v>38862.79</v>
      </c>
      <c r="AF156" s="760">
        <v>42030.95</v>
      </c>
      <c r="AG156" s="760">
        <v>451257.22</v>
      </c>
    </row>
    <row r="157" spans="1:34" ht="11.25" customHeight="1" x14ac:dyDescent="0.25"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4" ht="11.25" customHeight="1" x14ac:dyDescent="0.25"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4" ht="11.25" customHeight="1" x14ac:dyDescent="0.25">
      <c r="T159" s="756" t="s">
        <v>498</v>
      </c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4" ht="11.25" customHeight="1" x14ac:dyDescent="0.25"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20:33" ht="11.25" customHeight="1" x14ac:dyDescent="0.25">
      <c r="T161" s="756" t="s">
        <v>499</v>
      </c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20:33" ht="11.25" customHeight="1" x14ac:dyDescent="0.25">
      <c r="T162" s="756" t="s">
        <v>500</v>
      </c>
      <c r="U162" s="759">
        <v>2609.1999999999998</v>
      </c>
      <c r="V162" s="759">
        <v>2446.56</v>
      </c>
      <c r="W162" s="759">
        <v>1402.46</v>
      </c>
      <c r="X162" s="759">
        <v>678.11</v>
      </c>
      <c r="Y162" s="759">
        <v>153.78</v>
      </c>
      <c r="Z162" s="759">
        <v>1278.95</v>
      </c>
      <c r="AA162" s="759">
        <v>978.93</v>
      </c>
      <c r="AB162" s="759">
        <v>1520.08</v>
      </c>
      <c r="AC162" s="759">
        <v>1123.8599999999999</v>
      </c>
      <c r="AD162" s="759">
        <v>328.17</v>
      </c>
      <c r="AE162" s="759">
        <v>412.4</v>
      </c>
      <c r="AF162" s="759">
        <v>1874.59</v>
      </c>
      <c r="AG162" s="760">
        <v>14807.09</v>
      </c>
    </row>
    <row r="163" spans="20:33" ht="11.25" customHeight="1" x14ac:dyDescent="0.25">
      <c r="T163" s="756" t="s">
        <v>501</v>
      </c>
      <c r="U163" s="759">
        <v>0</v>
      </c>
      <c r="V163" s="759">
        <v>0</v>
      </c>
      <c r="W163" s="759">
        <v>0</v>
      </c>
      <c r="X163" s="759">
        <v>0</v>
      </c>
      <c r="Y163" s="759">
        <v>0</v>
      </c>
      <c r="Z163" s="759">
        <v>0</v>
      </c>
      <c r="AA163" s="759">
        <v>0</v>
      </c>
      <c r="AB163" s="759">
        <v>0</v>
      </c>
      <c r="AC163" s="759">
        <v>3690.92</v>
      </c>
      <c r="AD163" s="759">
        <v>0</v>
      </c>
      <c r="AE163" s="759">
        <v>0</v>
      </c>
      <c r="AF163" s="759">
        <v>0</v>
      </c>
      <c r="AG163" s="760">
        <v>3690.92</v>
      </c>
    </row>
    <row r="164" spans="20:33" ht="11.25" customHeight="1" x14ac:dyDescent="0.25">
      <c r="T164" s="756" t="s">
        <v>502</v>
      </c>
      <c r="U164" s="759">
        <v>0</v>
      </c>
      <c r="V164" s="759">
        <v>1743.41</v>
      </c>
      <c r="W164" s="759">
        <v>0</v>
      </c>
      <c r="X164" s="759">
        <v>0</v>
      </c>
      <c r="Y164" s="759">
        <v>0</v>
      </c>
      <c r="Z164" s="759">
        <v>948.7</v>
      </c>
      <c r="AA164" s="759">
        <v>871.71</v>
      </c>
      <c r="AB164" s="759">
        <v>871.71</v>
      </c>
      <c r="AC164" s="759">
        <v>867.28</v>
      </c>
      <c r="AD164" s="759">
        <v>915.68</v>
      </c>
      <c r="AE164" s="759">
        <v>0</v>
      </c>
      <c r="AF164" s="759">
        <v>871.71</v>
      </c>
      <c r="AG164" s="760">
        <v>7090.2</v>
      </c>
    </row>
    <row r="165" spans="20:33" ht="11.25" customHeight="1" x14ac:dyDescent="0.25">
      <c r="T165" s="756" t="s">
        <v>503</v>
      </c>
      <c r="U165" s="759">
        <v>0</v>
      </c>
      <c r="V165" s="759">
        <v>709.65</v>
      </c>
      <c r="W165" s="759">
        <v>0</v>
      </c>
      <c r="X165" s="759">
        <v>0</v>
      </c>
      <c r="Y165" s="759">
        <v>0</v>
      </c>
      <c r="Z165" s="759">
        <v>0</v>
      </c>
      <c r="AA165" s="759">
        <v>0</v>
      </c>
      <c r="AB165" s="759">
        <v>0</v>
      </c>
      <c r="AC165" s="759">
        <v>0</v>
      </c>
      <c r="AD165" s="759">
        <v>709.65</v>
      </c>
      <c r="AE165" s="759">
        <v>0</v>
      </c>
      <c r="AF165" s="759">
        <v>0</v>
      </c>
      <c r="AG165" s="760">
        <v>1419.3</v>
      </c>
    </row>
    <row r="166" spans="20:33" ht="11.25" customHeight="1" x14ac:dyDescent="0.25">
      <c r="T166" s="756" t="s">
        <v>504</v>
      </c>
      <c r="U166" s="759">
        <v>0</v>
      </c>
      <c r="V166" s="759">
        <v>0</v>
      </c>
      <c r="W166" s="759">
        <v>0</v>
      </c>
      <c r="X166" s="759">
        <v>644.65</v>
      </c>
      <c r="Y166" s="759">
        <v>644.66</v>
      </c>
      <c r="Z166" s="759">
        <v>709.65</v>
      </c>
      <c r="AA166" s="759">
        <v>0</v>
      </c>
      <c r="AB166" s="759">
        <v>1429.99</v>
      </c>
      <c r="AC166" s="759">
        <v>0</v>
      </c>
      <c r="AD166" s="759">
        <v>0</v>
      </c>
      <c r="AE166" s="759">
        <v>0</v>
      </c>
      <c r="AF166" s="759">
        <v>0</v>
      </c>
      <c r="AG166" s="760">
        <v>3428.95</v>
      </c>
    </row>
    <row r="167" spans="20:33" ht="11.25" customHeight="1" x14ac:dyDescent="0.25">
      <c r="T167" s="756" t="s">
        <v>505</v>
      </c>
      <c r="U167" s="759">
        <v>0</v>
      </c>
      <c r="V167" s="759">
        <v>466.57</v>
      </c>
      <c r="W167" s="759">
        <v>0</v>
      </c>
      <c r="X167" s="759">
        <v>466.57</v>
      </c>
      <c r="Y167" s="759">
        <v>0</v>
      </c>
      <c r="Z167" s="759">
        <v>444.32</v>
      </c>
      <c r="AA167" s="759">
        <v>0</v>
      </c>
      <c r="AB167" s="759">
        <v>1268.82</v>
      </c>
      <c r="AC167" s="759">
        <v>-422.94</v>
      </c>
      <c r="AD167" s="759">
        <v>0</v>
      </c>
      <c r="AE167" s="759">
        <v>454.75</v>
      </c>
      <c r="AF167" s="759">
        <v>382</v>
      </c>
      <c r="AG167" s="760">
        <v>3060.09</v>
      </c>
    </row>
    <row r="168" spans="20:33" ht="11.25" customHeight="1" x14ac:dyDescent="0.25">
      <c r="T168" s="756" t="s">
        <v>506</v>
      </c>
      <c r="U168" s="759">
        <v>0</v>
      </c>
      <c r="V168" s="759">
        <v>221.52</v>
      </c>
      <c r="W168" s="759">
        <v>0</v>
      </c>
      <c r="X168" s="759">
        <v>371.3</v>
      </c>
      <c r="Y168" s="759">
        <v>0</v>
      </c>
      <c r="Z168" s="759">
        <v>120.53</v>
      </c>
      <c r="AA168" s="759">
        <v>121.09</v>
      </c>
      <c r="AB168" s="759">
        <v>121.1</v>
      </c>
      <c r="AC168" s="759">
        <v>0</v>
      </c>
      <c r="AD168" s="759">
        <v>0</v>
      </c>
      <c r="AE168" s="759">
        <v>0</v>
      </c>
      <c r="AF168" s="759">
        <v>0</v>
      </c>
      <c r="AG168" s="760">
        <v>955.54</v>
      </c>
    </row>
    <row r="169" spans="20:33" ht="11.25" customHeight="1" x14ac:dyDescent="0.25">
      <c r="T169" s="756" t="s">
        <v>507</v>
      </c>
      <c r="U169" s="759">
        <v>0</v>
      </c>
      <c r="V169" s="759">
        <v>3466.51</v>
      </c>
      <c r="W169" s="759">
        <v>2560.7199999999998</v>
      </c>
      <c r="X169" s="759">
        <v>1758.7</v>
      </c>
      <c r="Y169" s="759">
        <v>0</v>
      </c>
      <c r="Z169" s="759">
        <v>0</v>
      </c>
      <c r="AA169" s="759">
        <v>743.94</v>
      </c>
      <c r="AB169" s="759">
        <v>1658.7</v>
      </c>
      <c r="AC169" s="759">
        <v>600.9</v>
      </c>
      <c r="AD169" s="759">
        <v>0</v>
      </c>
      <c r="AE169" s="759">
        <v>0</v>
      </c>
      <c r="AF169" s="759">
        <v>0</v>
      </c>
      <c r="AG169" s="760">
        <v>10789.47</v>
      </c>
    </row>
    <row r="170" spans="20:33" ht="11.25" customHeight="1" x14ac:dyDescent="0.25">
      <c r="T170" s="756" t="s">
        <v>508</v>
      </c>
      <c r="U170" s="759">
        <v>0</v>
      </c>
      <c r="V170" s="759">
        <v>531.57000000000005</v>
      </c>
      <c r="W170" s="759">
        <v>0</v>
      </c>
      <c r="X170" s="759">
        <v>0</v>
      </c>
      <c r="Y170" s="759">
        <v>0</v>
      </c>
      <c r="Z170" s="759">
        <v>0</v>
      </c>
      <c r="AA170" s="759">
        <v>0</v>
      </c>
      <c r="AB170" s="759">
        <v>0</v>
      </c>
      <c r="AC170" s="759">
        <v>0</v>
      </c>
      <c r="AD170" s="759">
        <v>0</v>
      </c>
      <c r="AE170" s="759">
        <v>1003.82</v>
      </c>
      <c r="AF170" s="759">
        <v>0</v>
      </c>
      <c r="AG170" s="760">
        <v>1535.39</v>
      </c>
    </row>
    <row r="171" spans="20:33" ht="11.25" customHeight="1" x14ac:dyDescent="0.25">
      <c r="T171" s="756" t="s">
        <v>509</v>
      </c>
      <c r="U171" s="759">
        <v>0</v>
      </c>
      <c r="V171" s="759">
        <v>0</v>
      </c>
      <c r="W171" s="759">
        <v>0</v>
      </c>
      <c r="X171" s="759">
        <v>0</v>
      </c>
      <c r="Y171" s="759">
        <v>0</v>
      </c>
      <c r="Z171" s="759">
        <v>0</v>
      </c>
      <c r="AA171" s="759">
        <v>0</v>
      </c>
      <c r="AB171" s="759">
        <v>0</v>
      </c>
      <c r="AC171" s="759">
        <v>0</v>
      </c>
      <c r="AD171" s="759">
        <v>0</v>
      </c>
      <c r="AE171" s="759">
        <v>1410.6</v>
      </c>
      <c r="AF171" s="759">
        <v>0</v>
      </c>
      <c r="AG171" s="760">
        <v>1410.6</v>
      </c>
    </row>
    <row r="172" spans="20:33" ht="11.25" customHeight="1" x14ac:dyDescent="0.25">
      <c r="T172" s="756" t="s">
        <v>510</v>
      </c>
      <c r="U172" s="759">
        <v>0</v>
      </c>
      <c r="V172" s="759">
        <v>0</v>
      </c>
      <c r="W172" s="759">
        <v>0</v>
      </c>
      <c r="X172" s="759">
        <v>4300</v>
      </c>
      <c r="Y172" s="759">
        <v>0</v>
      </c>
      <c r="Z172" s="759">
        <v>0</v>
      </c>
      <c r="AA172" s="759">
        <v>0</v>
      </c>
      <c r="AB172" s="759">
        <v>0</v>
      </c>
      <c r="AC172" s="759">
        <v>0</v>
      </c>
      <c r="AD172" s="759">
        <v>0</v>
      </c>
      <c r="AE172" s="759">
        <v>0</v>
      </c>
      <c r="AF172" s="759">
        <v>6995</v>
      </c>
      <c r="AG172" s="760">
        <v>11295</v>
      </c>
    </row>
    <row r="173" spans="20:33" ht="11.25" customHeight="1" x14ac:dyDescent="0.25">
      <c r="T173" s="756" t="s">
        <v>511</v>
      </c>
      <c r="U173" s="759">
        <v>0</v>
      </c>
      <c r="V173" s="759">
        <v>0</v>
      </c>
      <c r="W173" s="759">
        <v>0</v>
      </c>
      <c r="X173" s="759">
        <v>0</v>
      </c>
      <c r="Y173" s="759">
        <v>0</v>
      </c>
      <c r="Z173" s="759">
        <v>0</v>
      </c>
      <c r="AA173" s="759">
        <v>0</v>
      </c>
      <c r="AB173" s="759">
        <v>22750</v>
      </c>
      <c r="AC173" s="759">
        <v>0</v>
      </c>
      <c r="AD173" s="759">
        <v>0</v>
      </c>
      <c r="AE173" s="759">
        <v>0</v>
      </c>
      <c r="AF173" s="759">
        <v>0</v>
      </c>
      <c r="AG173" s="760">
        <v>22750</v>
      </c>
    </row>
    <row r="174" spans="20:33" ht="11.25" customHeight="1" x14ac:dyDescent="0.25">
      <c r="T174" s="756" t="s">
        <v>512</v>
      </c>
      <c r="U174" s="759">
        <v>0</v>
      </c>
      <c r="V174" s="759">
        <v>0</v>
      </c>
      <c r="W174" s="759">
        <v>0</v>
      </c>
      <c r="X174" s="759">
        <v>0</v>
      </c>
      <c r="Y174" s="759">
        <v>0</v>
      </c>
      <c r="Z174" s="759">
        <v>0</v>
      </c>
      <c r="AA174" s="759">
        <v>0</v>
      </c>
      <c r="AB174" s="759">
        <v>0</v>
      </c>
      <c r="AC174" s="759">
        <v>0</v>
      </c>
      <c r="AD174" s="759">
        <v>0</v>
      </c>
      <c r="AE174" s="759">
        <v>0</v>
      </c>
      <c r="AF174" s="759">
        <v>12545</v>
      </c>
      <c r="AG174" s="760">
        <v>12545</v>
      </c>
    </row>
    <row r="175" spans="20:33" ht="11.25" customHeight="1" x14ac:dyDescent="0.25">
      <c r="T175" s="756" t="s">
        <v>513</v>
      </c>
      <c r="U175" s="759">
        <v>0</v>
      </c>
      <c r="V175" s="759">
        <v>0</v>
      </c>
      <c r="W175" s="759">
        <v>0</v>
      </c>
      <c r="X175" s="759">
        <v>27490</v>
      </c>
      <c r="Y175" s="759">
        <v>0</v>
      </c>
      <c r="Z175" s="759">
        <v>0</v>
      </c>
      <c r="AA175" s="759">
        <v>0</v>
      </c>
      <c r="AB175" s="759">
        <v>0</v>
      </c>
      <c r="AC175" s="759">
        <v>0</v>
      </c>
      <c r="AD175" s="759">
        <v>0</v>
      </c>
      <c r="AE175" s="759">
        <v>0</v>
      </c>
      <c r="AF175" s="759">
        <v>0</v>
      </c>
      <c r="AG175" s="760">
        <v>27490</v>
      </c>
    </row>
    <row r="176" spans="20:33" ht="11.25" customHeight="1" x14ac:dyDescent="0.25">
      <c r="T176" s="756" t="s">
        <v>514</v>
      </c>
      <c r="U176" s="759">
        <v>0</v>
      </c>
      <c r="V176" s="759">
        <v>0</v>
      </c>
      <c r="W176" s="759">
        <v>46950</v>
      </c>
      <c r="X176" s="759">
        <v>0</v>
      </c>
      <c r="Y176" s="759">
        <v>0</v>
      </c>
      <c r="Z176" s="759">
        <v>0</v>
      </c>
      <c r="AA176" s="759">
        <v>19150</v>
      </c>
      <c r="AB176" s="759">
        <v>0</v>
      </c>
      <c r="AC176" s="759">
        <v>27120</v>
      </c>
      <c r="AD176" s="759">
        <v>0</v>
      </c>
      <c r="AE176" s="759">
        <v>0</v>
      </c>
      <c r="AF176" s="759">
        <v>0</v>
      </c>
      <c r="AG176" s="760">
        <v>93220</v>
      </c>
    </row>
    <row r="177" spans="20:33" ht="11.25" customHeight="1" x14ac:dyDescent="0.25">
      <c r="T177" s="756" t="s">
        <v>515</v>
      </c>
      <c r="U177" s="759">
        <v>0</v>
      </c>
      <c r="V177" s="759">
        <v>0</v>
      </c>
      <c r="W177" s="759">
        <v>0</v>
      </c>
      <c r="X177" s="759">
        <v>0</v>
      </c>
      <c r="Y177" s="759">
        <v>0</v>
      </c>
      <c r="Z177" s="759">
        <v>0</v>
      </c>
      <c r="AA177" s="759">
        <v>0</v>
      </c>
      <c r="AB177" s="759">
        <v>4800</v>
      </c>
      <c r="AC177" s="759">
        <v>0</v>
      </c>
      <c r="AD177" s="759">
        <v>0</v>
      </c>
      <c r="AE177" s="759">
        <v>0</v>
      </c>
      <c r="AF177" s="759">
        <v>0</v>
      </c>
      <c r="AG177" s="760">
        <v>4800</v>
      </c>
    </row>
    <row r="178" spans="20:33" ht="11.25" customHeight="1" x14ac:dyDescent="0.25">
      <c r="T178" s="756" t="s">
        <v>516</v>
      </c>
      <c r="U178" s="759">
        <v>0</v>
      </c>
      <c r="V178" s="759">
        <v>0</v>
      </c>
      <c r="W178" s="759">
        <v>0</v>
      </c>
      <c r="X178" s="759">
        <v>0</v>
      </c>
      <c r="Y178" s="759">
        <v>0</v>
      </c>
      <c r="Z178" s="759">
        <v>0</v>
      </c>
      <c r="AA178" s="759">
        <v>0</v>
      </c>
      <c r="AB178" s="759">
        <v>54000</v>
      </c>
      <c r="AC178" s="759">
        <v>11500</v>
      </c>
      <c r="AD178" s="759">
        <v>0</v>
      </c>
      <c r="AE178" s="759">
        <v>0</v>
      </c>
      <c r="AF178" s="759">
        <v>0</v>
      </c>
      <c r="AG178" s="760">
        <v>65500</v>
      </c>
    </row>
    <row r="179" spans="20:33" ht="11.25" customHeight="1" x14ac:dyDescent="0.25">
      <c r="T179" s="756" t="s">
        <v>517</v>
      </c>
      <c r="U179" s="759">
        <v>0</v>
      </c>
      <c r="V179" s="759">
        <v>0</v>
      </c>
      <c r="W179" s="759">
        <v>1878</v>
      </c>
      <c r="X179" s="759">
        <v>1271.5999999999999</v>
      </c>
      <c r="Y179" s="759">
        <v>0</v>
      </c>
      <c r="Z179" s="759">
        <v>0</v>
      </c>
      <c r="AA179" s="759">
        <v>0</v>
      </c>
      <c r="AB179" s="759">
        <v>4028</v>
      </c>
      <c r="AC179" s="759">
        <v>1544.8</v>
      </c>
      <c r="AD179" s="759">
        <v>0</v>
      </c>
      <c r="AE179" s="759">
        <v>0</v>
      </c>
      <c r="AF179" s="759">
        <v>501.8</v>
      </c>
      <c r="AG179" s="760">
        <v>9224.2000000000007</v>
      </c>
    </row>
    <row r="180" spans="20:33" ht="11.25" customHeight="1" x14ac:dyDescent="0.25">
      <c r="T180"/>
      <c r="U180" s="763"/>
      <c r="V180" s="763"/>
      <c r="W180" s="763"/>
      <c r="X180" s="763"/>
      <c r="Y180" s="763"/>
      <c r="Z180" s="763"/>
      <c r="AA180" s="763"/>
      <c r="AB180" s="763"/>
      <c r="AC180" s="763"/>
      <c r="AD180" s="763"/>
      <c r="AE180" s="763"/>
      <c r="AF180" s="763"/>
      <c r="AG180" s="763"/>
    </row>
    <row r="181" spans="20:33" ht="11.25" customHeight="1" x14ac:dyDescent="0.25"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20:33" ht="11.25" customHeight="1" x14ac:dyDescent="0.25">
      <c r="T182" s="756" t="s">
        <v>518</v>
      </c>
      <c r="U182" s="759">
        <v>2609.1999999999998</v>
      </c>
      <c r="V182" s="759">
        <v>9585.7900000000009</v>
      </c>
      <c r="W182" s="759">
        <v>52791.18</v>
      </c>
      <c r="X182" s="759">
        <v>36980.93</v>
      </c>
      <c r="Y182" s="759">
        <v>798.44</v>
      </c>
      <c r="Z182" s="759">
        <v>3502.15</v>
      </c>
      <c r="AA182" s="759">
        <v>21865.67</v>
      </c>
      <c r="AB182" s="759">
        <v>92448.4</v>
      </c>
      <c r="AC182" s="759">
        <v>46024.82</v>
      </c>
      <c r="AD182" s="759">
        <v>1953.5</v>
      </c>
      <c r="AE182" s="759">
        <v>3281.57</v>
      </c>
      <c r="AF182" s="759">
        <v>23170.1</v>
      </c>
      <c r="AG182" s="760">
        <v>295011.75</v>
      </c>
    </row>
    <row r="183" spans="20:33" ht="11.25" customHeight="1" x14ac:dyDescent="0.25"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20:33" ht="11.25" customHeight="1" x14ac:dyDescent="0.25">
      <c r="T184" s="756" t="s">
        <v>519</v>
      </c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20:33" ht="11.25" customHeight="1" x14ac:dyDescent="0.25">
      <c r="T185" s="756" t="s">
        <v>520</v>
      </c>
      <c r="U185" s="759">
        <v>0</v>
      </c>
      <c r="V185" s="759">
        <v>0</v>
      </c>
      <c r="W185" s="759">
        <v>0</v>
      </c>
      <c r="X185" s="759">
        <v>0</v>
      </c>
      <c r="Y185" s="759">
        <v>0</v>
      </c>
      <c r="Z185" s="759">
        <v>0</v>
      </c>
      <c r="AA185" s="759">
        <v>0</v>
      </c>
      <c r="AB185" s="759">
        <v>0</v>
      </c>
      <c r="AC185" s="759">
        <v>0</v>
      </c>
      <c r="AD185" s="759">
        <v>0</v>
      </c>
      <c r="AE185" s="759">
        <v>0</v>
      </c>
      <c r="AF185" s="759">
        <v>0</v>
      </c>
      <c r="AG185" s="760">
        <v>0</v>
      </c>
    </row>
    <row r="186" spans="20:33" ht="11.25" customHeight="1" x14ac:dyDescent="0.25">
      <c r="T186"/>
      <c r="U186" s="763"/>
      <c r="V186" s="763"/>
      <c r="W186" s="763"/>
      <c r="X186" s="763"/>
      <c r="Y186" s="763"/>
      <c r="Z186" s="763"/>
      <c r="AA186" s="763"/>
      <c r="AB186" s="763"/>
      <c r="AC186" s="763"/>
      <c r="AD186" s="763"/>
      <c r="AE186" s="763"/>
      <c r="AF186" s="763"/>
      <c r="AG186" s="763"/>
    </row>
    <row r="187" spans="20:33" ht="11.25" customHeight="1" x14ac:dyDescent="0.25"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20:33" ht="11.25" customHeight="1" x14ac:dyDescent="0.25">
      <c r="T188" s="756" t="s">
        <v>231</v>
      </c>
      <c r="U188" s="759">
        <v>2609.1999999999998</v>
      </c>
      <c r="V188" s="759">
        <v>9585.7900000000009</v>
      </c>
      <c r="W188" s="759">
        <v>52791.18</v>
      </c>
      <c r="X188" s="759">
        <v>36980.93</v>
      </c>
      <c r="Y188" s="759">
        <v>798.44</v>
      </c>
      <c r="Z188" s="759">
        <v>3502.15</v>
      </c>
      <c r="AA188" s="759">
        <v>21865.67</v>
      </c>
      <c r="AB188" s="759">
        <v>92448.4</v>
      </c>
      <c r="AC188" s="759">
        <v>46024.82</v>
      </c>
      <c r="AD188" s="759">
        <v>1953.5</v>
      </c>
      <c r="AE188" s="759">
        <v>3281.57</v>
      </c>
      <c r="AF188" s="759">
        <v>23170.1</v>
      </c>
      <c r="AG188" s="760">
        <v>295011.75</v>
      </c>
    </row>
    <row r="189" spans="20:33" ht="11.25" customHeight="1" x14ac:dyDescent="0.25"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20:33" ht="11.25" customHeight="1" x14ac:dyDescent="0.25">
      <c r="T190" s="756" t="s">
        <v>521</v>
      </c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20:33" ht="11.25" customHeight="1" x14ac:dyDescent="0.25">
      <c r="T191" s="756" t="s">
        <v>522</v>
      </c>
      <c r="U191" s="759">
        <v>2304</v>
      </c>
      <c r="V191" s="759">
        <v>2304</v>
      </c>
      <c r="W191" s="759">
        <v>-7840.93</v>
      </c>
      <c r="X191" s="759">
        <v>-4640.5</v>
      </c>
      <c r="Y191" s="759">
        <v>2304</v>
      </c>
      <c r="Z191" s="759">
        <v>2304</v>
      </c>
      <c r="AA191" s="759">
        <v>-3978.13</v>
      </c>
      <c r="AB191" s="759">
        <v>2304</v>
      </c>
      <c r="AC191" s="759">
        <v>2304</v>
      </c>
      <c r="AD191" s="759">
        <v>-5161.05</v>
      </c>
      <c r="AE191" s="759">
        <v>2304</v>
      </c>
      <c r="AF191" s="759">
        <v>2304</v>
      </c>
      <c r="AG191" s="760">
        <v>-3188.61</v>
      </c>
    </row>
    <row r="192" spans="20:33" ht="11.25" customHeight="1" x14ac:dyDescent="0.25">
      <c r="T192" s="756" t="s">
        <v>523</v>
      </c>
      <c r="U192" s="759">
        <v>0</v>
      </c>
      <c r="V192" s="759">
        <v>0</v>
      </c>
      <c r="W192" s="759">
        <v>0</v>
      </c>
      <c r="X192" s="759">
        <v>0</v>
      </c>
      <c r="Y192" s="759">
        <v>0</v>
      </c>
      <c r="Z192" s="759">
        <v>0</v>
      </c>
      <c r="AA192" s="759">
        <v>0</v>
      </c>
      <c r="AB192" s="759">
        <v>0</v>
      </c>
      <c r="AC192" s="759">
        <v>0</v>
      </c>
      <c r="AD192" s="759">
        <v>-63875</v>
      </c>
      <c r="AE192" s="759">
        <v>0</v>
      </c>
      <c r="AF192" s="759">
        <v>0</v>
      </c>
      <c r="AG192" s="760">
        <v>-63875</v>
      </c>
    </row>
    <row r="193" spans="20:33" ht="11.25" customHeight="1" x14ac:dyDescent="0.25">
      <c r="T193" s="756" t="s">
        <v>524</v>
      </c>
      <c r="U193" s="759">
        <v>0</v>
      </c>
      <c r="V193" s="759">
        <v>0</v>
      </c>
      <c r="W193" s="759">
        <v>0</v>
      </c>
      <c r="X193" s="759">
        <v>0</v>
      </c>
      <c r="Y193" s="759">
        <v>0</v>
      </c>
      <c r="Z193" s="759">
        <v>0</v>
      </c>
      <c r="AA193" s="759">
        <v>-22040.03</v>
      </c>
      <c r="AB193" s="759">
        <v>0</v>
      </c>
      <c r="AC193" s="759">
        <v>0</v>
      </c>
      <c r="AD193" s="759">
        <v>-59166.99</v>
      </c>
      <c r="AE193" s="759">
        <v>0</v>
      </c>
      <c r="AF193" s="759">
        <v>0</v>
      </c>
      <c r="AG193" s="760">
        <v>-81207.02</v>
      </c>
    </row>
    <row r="194" spans="20:33" ht="11.25" customHeight="1" x14ac:dyDescent="0.25">
      <c r="T194" s="756" t="s">
        <v>525</v>
      </c>
      <c r="U194" s="759">
        <v>0</v>
      </c>
      <c r="V194" s="759">
        <v>-46950</v>
      </c>
      <c r="W194" s="759">
        <v>-1878</v>
      </c>
      <c r="X194" s="759">
        <v>-33061.599999999999</v>
      </c>
      <c r="Y194" s="759">
        <v>0</v>
      </c>
      <c r="Z194" s="759">
        <v>0</v>
      </c>
      <c r="AA194" s="759">
        <v>0</v>
      </c>
      <c r="AB194" s="759">
        <v>0</v>
      </c>
      <c r="AC194" s="759">
        <v>21640.03</v>
      </c>
      <c r="AD194" s="759">
        <v>0</v>
      </c>
      <c r="AE194" s="759">
        <v>122241.99</v>
      </c>
      <c r="AF194" s="759">
        <v>-13046.8</v>
      </c>
      <c r="AG194" s="760">
        <v>48945.62</v>
      </c>
    </row>
    <row r="195" spans="20:33" ht="11.25" customHeight="1" x14ac:dyDescent="0.25">
      <c r="T195" s="756" t="s">
        <v>526</v>
      </c>
      <c r="U195" s="761">
        <v>0</v>
      </c>
      <c r="V195" s="761">
        <v>1984.21</v>
      </c>
      <c r="W195" s="761">
        <v>-1984.21</v>
      </c>
      <c r="X195" s="761">
        <v>0</v>
      </c>
      <c r="Y195" s="761">
        <v>6241.1</v>
      </c>
      <c r="Z195" s="761">
        <v>0</v>
      </c>
      <c r="AA195" s="761">
        <v>-6241.1</v>
      </c>
      <c r="AB195" s="761">
        <v>0</v>
      </c>
      <c r="AC195" s="761">
        <v>0</v>
      </c>
      <c r="AD195" s="761">
        <v>0</v>
      </c>
      <c r="AE195" s="761">
        <v>0</v>
      </c>
      <c r="AF195" s="761">
        <v>0</v>
      </c>
      <c r="AG195" s="762">
        <v>0</v>
      </c>
    </row>
    <row r="196" spans="20:33" ht="11.25" customHeight="1" x14ac:dyDescent="0.25"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20:33" ht="11.25" customHeight="1" x14ac:dyDescent="0.25">
      <c r="T197" s="756" t="s">
        <v>527</v>
      </c>
      <c r="U197" s="759">
        <v>2304</v>
      </c>
      <c r="V197" s="759">
        <v>-42661.79</v>
      </c>
      <c r="W197" s="759">
        <v>-11703.14</v>
      </c>
      <c r="X197" s="759">
        <v>-37702.1</v>
      </c>
      <c r="Y197" s="759">
        <v>8545.1</v>
      </c>
      <c r="Z197" s="759">
        <v>2304</v>
      </c>
      <c r="AA197" s="759">
        <v>-32259.26</v>
      </c>
      <c r="AB197" s="759">
        <v>2304</v>
      </c>
      <c r="AC197" s="759">
        <v>23944.03</v>
      </c>
      <c r="AD197" s="759">
        <v>-128203.04</v>
      </c>
      <c r="AE197" s="759">
        <v>124545.99</v>
      </c>
      <c r="AF197" s="759">
        <v>-10742.8</v>
      </c>
      <c r="AG197" s="760">
        <v>-99325.01</v>
      </c>
    </row>
    <row r="198" spans="20:33" ht="11.25" customHeight="1" x14ac:dyDescent="0.25">
      <c r="T198"/>
      <c r="U198" s="763"/>
      <c r="V198" s="763"/>
      <c r="W198" s="763"/>
      <c r="X198" s="763"/>
      <c r="Y198" s="763"/>
      <c r="Z198" s="763"/>
      <c r="AA198" s="763"/>
      <c r="AB198" s="763"/>
      <c r="AC198" s="763"/>
      <c r="AD198" s="763"/>
      <c r="AE198" s="763"/>
      <c r="AF198" s="763"/>
      <c r="AG198" s="763"/>
    </row>
    <row r="199" spans="20:33" ht="11.25" customHeight="1" x14ac:dyDescent="0.25"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20:33" ht="11.25" customHeight="1" x14ac:dyDescent="0.25">
      <c r="T200" s="756" t="s">
        <v>528</v>
      </c>
      <c r="U200" s="759">
        <v>4913.2</v>
      </c>
      <c r="V200" s="759">
        <v>-33076</v>
      </c>
      <c r="W200" s="759">
        <v>41088.04</v>
      </c>
      <c r="X200" s="759">
        <v>-721.17</v>
      </c>
      <c r="Y200" s="759">
        <v>9343.5400000000009</v>
      </c>
      <c r="Z200" s="759">
        <v>5806.15</v>
      </c>
      <c r="AA200" s="759">
        <v>-10393.59</v>
      </c>
      <c r="AB200" s="759">
        <v>94752.4</v>
      </c>
      <c r="AC200" s="759">
        <v>69968.850000000006</v>
      </c>
      <c r="AD200" s="759">
        <v>-126249.54</v>
      </c>
      <c r="AE200" s="759">
        <v>127827.56</v>
      </c>
      <c r="AF200" s="759">
        <v>12427.3</v>
      </c>
      <c r="AG200" s="760">
        <v>195686.74</v>
      </c>
    </row>
    <row r="201" spans="20:33" ht="11.25" customHeight="1" x14ac:dyDescent="0.25"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20:33" ht="11.25" customHeight="1" x14ac:dyDescent="0.25">
      <c r="T202" s="756" t="s">
        <v>529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20:33" ht="11.25" customHeight="1" x14ac:dyDescent="0.25"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20:33" ht="11.25" customHeight="1" x14ac:dyDescent="0.25">
      <c r="T204" s="756" t="s">
        <v>429</v>
      </c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20:33" ht="11.25" customHeight="1" x14ac:dyDescent="0.25"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20:33" ht="11.25" customHeight="1" x14ac:dyDescent="0.25">
      <c r="T206" s="756" t="s">
        <v>530</v>
      </c>
      <c r="U206" s="759">
        <v>19918.14</v>
      </c>
      <c r="V206" s="759">
        <v>21374.21</v>
      </c>
      <c r="W206" s="759">
        <v>24712.85</v>
      </c>
      <c r="X206" s="759">
        <v>25996.59</v>
      </c>
      <c r="Y206" s="759">
        <v>24338.43</v>
      </c>
      <c r="Z206" s="759">
        <v>27766.959999999999</v>
      </c>
      <c r="AA206" s="759">
        <v>27256.95</v>
      </c>
      <c r="AB206" s="759">
        <v>28899.45</v>
      </c>
      <c r="AC206" s="759">
        <v>28772.99</v>
      </c>
      <c r="AD206" s="759">
        <v>29826.58</v>
      </c>
      <c r="AE206" s="759">
        <v>29964.62</v>
      </c>
      <c r="AF206" s="759">
        <v>29773.25</v>
      </c>
      <c r="AG206" s="760">
        <v>318601.02</v>
      </c>
    </row>
    <row r="207" spans="20:33" ht="11.25" customHeight="1" x14ac:dyDescent="0.25">
      <c r="T207" s="756" t="s">
        <v>531</v>
      </c>
      <c r="U207" s="761">
        <v>0</v>
      </c>
      <c r="V207" s="761">
        <v>-1984.21</v>
      </c>
      <c r="W207" s="761">
        <v>-4676.5200000000004</v>
      </c>
      <c r="X207" s="761">
        <v>-10184.879999999999</v>
      </c>
      <c r="Y207" s="761">
        <v>-10664.77</v>
      </c>
      <c r="Z207" s="761">
        <v>-13210.08</v>
      </c>
      <c r="AA207" s="761">
        <v>-13443.02</v>
      </c>
      <c r="AB207" s="761">
        <v>-15145.24</v>
      </c>
      <c r="AC207" s="761">
        <v>-16033.62</v>
      </c>
      <c r="AD207" s="761">
        <v>-16729.55</v>
      </c>
      <c r="AE207" s="761">
        <v>-16965.439999999999</v>
      </c>
      <c r="AF207" s="761">
        <v>-17742.87</v>
      </c>
      <c r="AG207" s="762">
        <v>-136780.20000000001</v>
      </c>
    </row>
    <row r="208" spans="20:33" ht="11.25" customHeight="1" x14ac:dyDescent="0.25"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20:33" ht="11.25" customHeight="1" x14ac:dyDescent="0.25">
      <c r="T209" s="756" t="s">
        <v>532</v>
      </c>
      <c r="U209" s="759">
        <v>19918.14</v>
      </c>
      <c r="V209" s="759">
        <v>19390</v>
      </c>
      <c r="W209" s="759">
        <v>20036.330000000002</v>
      </c>
      <c r="X209" s="759">
        <v>15811.71</v>
      </c>
      <c r="Y209" s="759">
        <v>13673.66</v>
      </c>
      <c r="Z209" s="759">
        <v>14556.88</v>
      </c>
      <c r="AA209" s="759">
        <v>13813.93</v>
      </c>
      <c r="AB209" s="759">
        <v>13754.21</v>
      </c>
      <c r="AC209" s="759">
        <v>12739.37</v>
      </c>
      <c r="AD209" s="759">
        <v>13097.03</v>
      </c>
      <c r="AE209" s="759">
        <v>12999.18</v>
      </c>
      <c r="AF209" s="759">
        <v>12030.38</v>
      </c>
      <c r="AG209" s="760">
        <v>181820.82</v>
      </c>
    </row>
    <row r="210" spans="20:33" ht="11.25" customHeight="1" x14ac:dyDescent="0.25"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20:33" ht="11.25" customHeight="1" x14ac:dyDescent="0.25">
      <c r="T211" s="756" t="s">
        <v>533</v>
      </c>
      <c r="U211" s="763"/>
      <c r="V211" s="763"/>
      <c r="W211" s="763"/>
      <c r="X211" s="763"/>
      <c r="Y211" s="763"/>
      <c r="Z211" s="763"/>
      <c r="AA211" s="763"/>
      <c r="AB211" s="763"/>
      <c r="AC211" s="763"/>
      <c r="AD211" s="763"/>
      <c r="AE211" s="763"/>
      <c r="AF211" s="763"/>
      <c r="AG211" s="763"/>
    </row>
    <row r="212" spans="20:33" ht="11.25" customHeight="1" x14ac:dyDescent="0.25"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20:33" ht="11.25" customHeight="1" x14ac:dyDescent="0.25">
      <c r="T213" s="756" t="s">
        <v>534</v>
      </c>
      <c r="U213" s="759">
        <v>0</v>
      </c>
      <c r="V213" s="759">
        <v>0</v>
      </c>
      <c r="W213" s="759">
        <v>0</v>
      </c>
      <c r="X213" s="759">
        <v>0</v>
      </c>
      <c r="Y213" s="759">
        <v>0</v>
      </c>
      <c r="Z213" s="759">
        <v>0</v>
      </c>
      <c r="AA213" s="759">
        <v>0</v>
      </c>
      <c r="AB213" s="759">
        <v>0</v>
      </c>
      <c r="AC213" s="759">
        <v>0</v>
      </c>
      <c r="AD213" s="759">
        <v>0</v>
      </c>
      <c r="AE213" s="759">
        <v>0</v>
      </c>
      <c r="AF213" s="759">
        <v>0</v>
      </c>
      <c r="AG213" s="760">
        <v>0</v>
      </c>
    </row>
    <row r="214" spans="20:33" ht="11.25" customHeight="1" x14ac:dyDescent="0.25">
      <c r="T214"/>
      <c r="U214" s="763"/>
      <c r="V214" s="763"/>
      <c r="W214" s="763"/>
      <c r="X214" s="763"/>
      <c r="Y214" s="763"/>
      <c r="Z214" s="763"/>
      <c r="AA214" s="763"/>
      <c r="AB214" s="763"/>
      <c r="AC214" s="763"/>
      <c r="AD214" s="763"/>
      <c r="AE214" s="763"/>
      <c r="AF214" s="763"/>
      <c r="AG214" s="763"/>
    </row>
    <row r="215" spans="20:33" ht="11.25" customHeight="1" x14ac:dyDescent="0.25"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20:33" ht="11.25" customHeight="1" x14ac:dyDescent="0.25">
      <c r="T216" s="756" t="s">
        <v>535</v>
      </c>
      <c r="U216" s="759">
        <v>19918.14</v>
      </c>
      <c r="V216" s="759">
        <v>19390</v>
      </c>
      <c r="W216" s="759">
        <v>20036.330000000002</v>
      </c>
      <c r="X216" s="759">
        <v>15811.71</v>
      </c>
      <c r="Y216" s="759">
        <v>13673.66</v>
      </c>
      <c r="Z216" s="759">
        <v>14556.88</v>
      </c>
      <c r="AA216" s="759">
        <v>13813.93</v>
      </c>
      <c r="AB216" s="759">
        <v>13754.21</v>
      </c>
      <c r="AC216" s="759">
        <v>12739.37</v>
      </c>
      <c r="AD216" s="759">
        <v>13097.03</v>
      </c>
      <c r="AE216" s="759">
        <v>12999.18</v>
      </c>
      <c r="AF216" s="759">
        <v>12030.38</v>
      </c>
      <c r="AG216" s="760">
        <v>181820.82</v>
      </c>
    </row>
    <row r="217" spans="20:33" ht="11.25" customHeight="1" x14ac:dyDescent="0.25"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20:33" ht="11.25" customHeight="1" x14ac:dyDescent="0.25">
      <c r="T218" s="756" t="s">
        <v>536</v>
      </c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20:33" ht="11.25" customHeight="1" x14ac:dyDescent="0.25"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20:33" ht="11.25" customHeight="1" x14ac:dyDescent="0.25">
      <c r="T220" s="756" t="s">
        <v>537</v>
      </c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20:33" ht="11.25" customHeight="1" x14ac:dyDescent="0.25">
      <c r="T221" s="756" t="s">
        <v>538</v>
      </c>
      <c r="U221" s="759">
        <v>0</v>
      </c>
      <c r="V221" s="759">
        <v>0</v>
      </c>
      <c r="W221" s="759">
        <v>0</v>
      </c>
      <c r="X221" s="759">
        <v>0</v>
      </c>
      <c r="Y221" s="759">
        <v>0</v>
      </c>
      <c r="Z221" s="759">
        <v>1189</v>
      </c>
      <c r="AA221" s="759">
        <v>0</v>
      </c>
      <c r="AB221" s="759">
        <v>0</v>
      </c>
      <c r="AC221" s="759">
        <v>0</v>
      </c>
      <c r="AD221" s="759">
        <v>0</v>
      </c>
      <c r="AE221" s="759">
        <v>33.119999999999997</v>
      </c>
      <c r="AF221" s="759">
        <v>0</v>
      </c>
      <c r="AG221" s="760">
        <v>1222.1199999999999</v>
      </c>
    </row>
    <row r="222" spans="20:33" ht="11.25" customHeight="1" x14ac:dyDescent="0.25">
      <c r="T222" s="756" t="s">
        <v>539</v>
      </c>
      <c r="U222" s="759">
        <v>753.27</v>
      </c>
      <c r="V222" s="759">
        <v>740.17</v>
      </c>
      <c r="W222" s="759">
        <v>778.72</v>
      </c>
      <c r="X222" s="759">
        <v>800.69</v>
      </c>
      <c r="Y222" s="759">
        <v>783.41</v>
      </c>
      <c r="Z222" s="759">
        <v>800.29</v>
      </c>
      <c r="AA222" s="759">
        <v>907.92</v>
      </c>
      <c r="AB222" s="759">
        <v>817.29</v>
      </c>
      <c r="AC222" s="759">
        <v>747.21</v>
      </c>
      <c r="AD222" s="759">
        <v>830.07</v>
      </c>
      <c r="AE222" s="759">
        <v>821.57</v>
      </c>
      <c r="AF222" s="759">
        <v>842.89</v>
      </c>
      <c r="AG222" s="760">
        <v>9623.5</v>
      </c>
    </row>
    <row r="223" spans="20:33" ht="11.25" customHeight="1" x14ac:dyDescent="0.25">
      <c r="T223" s="756" t="s">
        <v>540</v>
      </c>
      <c r="U223" s="761">
        <v>150.30000000000001</v>
      </c>
      <c r="V223" s="761">
        <v>62.5</v>
      </c>
      <c r="W223" s="761">
        <v>128.94</v>
      </c>
      <c r="X223" s="761">
        <v>436.96</v>
      </c>
      <c r="Y223" s="761">
        <v>195</v>
      </c>
      <c r="Z223" s="761">
        <v>0</v>
      </c>
      <c r="AA223" s="761">
        <v>1007.84</v>
      </c>
      <c r="AB223" s="761">
        <v>0</v>
      </c>
      <c r="AC223" s="761">
        <v>0</v>
      </c>
      <c r="AD223" s="761">
        <v>0</v>
      </c>
      <c r="AE223" s="761">
        <v>11.95</v>
      </c>
      <c r="AF223" s="761">
        <v>605</v>
      </c>
      <c r="AG223" s="762">
        <v>2598.4899999999998</v>
      </c>
    </row>
    <row r="224" spans="20:33" ht="11.25" customHeight="1" x14ac:dyDescent="0.25"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20:33" ht="11.25" customHeight="1" x14ac:dyDescent="0.25">
      <c r="T225" s="756" t="s">
        <v>541</v>
      </c>
      <c r="U225" s="759">
        <v>903.57</v>
      </c>
      <c r="V225" s="759">
        <v>802.67</v>
      </c>
      <c r="W225" s="759">
        <v>907.66</v>
      </c>
      <c r="X225" s="759">
        <v>1237.6500000000001</v>
      </c>
      <c r="Y225" s="759">
        <v>978.41</v>
      </c>
      <c r="Z225" s="759">
        <v>1989.29</v>
      </c>
      <c r="AA225" s="759">
        <v>1915.76</v>
      </c>
      <c r="AB225" s="759">
        <v>817.29</v>
      </c>
      <c r="AC225" s="759">
        <v>747.21</v>
      </c>
      <c r="AD225" s="759">
        <v>830.07</v>
      </c>
      <c r="AE225" s="759">
        <v>866.64</v>
      </c>
      <c r="AF225" s="759">
        <v>1447.89</v>
      </c>
      <c r="AG225" s="760">
        <v>13444.11</v>
      </c>
    </row>
    <row r="226" spans="20:33" ht="11.25" customHeight="1" x14ac:dyDescent="0.25"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20:33" ht="11.25" customHeight="1" x14ac:dyDescent="0.25">
      <c r="T227" s="756" t="s">
        <v>542</v>
      </c>
      <c r="U227" s="763"/>
      <c r="V227" s="763"/>
      <c r="W227" s="763"/>
      <c r="X227" s="763"/>
      <c r="Y227" s="763"/>
      <c r="Z227" s="763"/>
      <c r="AA227" s="763"/>
      <c r="AB227" s="763"/>
      <c r="AC227" s="763"/>
      <c r="AD227" s="763"/>
      <c r="AE227" s="763"/>
      <c r="AF227" s="763"/>
      <c r="AG227" s="763"/>
    </row>
    <row r="228" spans="20:33" ht="11.25" customHeight="1" x14ac:dyDescent="0.25"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20:33" ht="11.25" customHeight="1" x14ac:dyDescent="0.25">
      <c r="T229" s="756" t="s">
        <v>543</v>
      </c>
      <c r="U229" s="759">
        <v>13107.04</v>
      </c>
      <c r="V229" s="759">
        <v>48283.49</v>
      </c>
      <c r="W229" s="759">
        <v>-34633.870000000003</v>
      </c>
      <c r="X229" s="759">
        <v>19045.2</v>
      </c>
      <c r="Y229" s="759">
        <v>15600.32</v>
      </c>
      <c r="Z229" s="759">
        <v>13753.34</v>
      </c>
      <c r="AA229" s="759">
        <v>34467.07</v>
      </c>
      <c r="AB229" s="759">
        <v>-68751.06</v>
      </c>
      <c r="AC229" s="759">
        <v>-45651.18</v>
      </c>
      <c r="AD229" s="759">
        <v>151790.41</v>
      </c>
      <c r="AE229" s="759">
        <v>-102830.59</v>
      </c>
      <c r="AF229" s="759">
        <v>16125.38</v>
      </c>
      <c r="AG229" s="760">
        <v>60305.55</v>
      </c>
    </row>
  </sheetData>
  <sortState xmlns:xlrd2="http://schemas.microsoft.com/office/spreadsheetml/2017/richdata2" ref="AH16:AI35">
    <sortCondition descending="1" ref="AI16:AI35"/>
  </sortState>
  <mergeCells count="1">
    <mergeCell ref="Q4:Q5"/>
  </mergeCells>
  <phoneticPr fontId="87" type="noConversion"/>
  <pageMargins left="0.75" right="0.75" top="1" bottom="1" header="0.5" footer="0.5"/>
  <pageSetup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  <pageSetUpPr fitToPage="1"/>
  </sheetPr>
  <dimension ref="A1:AC151"/>
  <sheetViews>
    <sheetView showGridLines="0" zoomScale="70" zoomScaleNormal="98" workbookViewId="0">
      <selection activeCell="G11" sqref="G11"/>
    </sheetView>
  </sheetViews>
  <sheetFormatPr defaultColWidth="9.28515625" defaultRowHeight="19.5" customHeight="1" outlineLevelRow="1" x14ac:dyDescent="0.25"/>
  <cols>
    <col min="1" max="1" width="1.7109375" style="122" customWidth="1"/>
    <col min="2" max="2" width="16.28515625" bestFit="1" customWidth="1"/>
    <col min="3" max="3" width="18.42578125" customWidth="1"/>
    <col min="4" max="4" width="22.28515625" bestFit="1" customWidth="1"/>
    <col min="5" max="5" width="10.28515625" bestFit="1" customWidth="1"/>
    <col min="6" max="6" width="22" bestFit="1" customWidth="1"/>
    <col min="7" max="7" width="14.7109375" bestFit="1" customWidth="1"/>
    <col min="8" max="9" width="16.42578125" bestFit="1" customWidth="1"/>
    <col min="10" max="10" width="10.7109375" customWidth="1"/>
    <col min="11" max="11" width="23.42578125" bestFit="1" customWidth="1"/>
    <col min="12" max="12" width="13.85546875" bestFit="1" customWidth="1"/>
    <col min="13" max="13" width="14.28515625" bestFit="1" customWidth="1"/>
    <col min="14" max="14" width="8.85546875" bestFit="1" customWidth="1"/>
    <col min="15" max="15" width="11.140625" bestFit="1" customWidth="1"/>
    <col min="16" max="16" width="12.42578125" bestFit="1" customWidth="1"/>
    <col min="17" max="17" width="14.140625" bestFit="1" customWidth="1"/>
    <col min="18" max="18" width="13.140625" bestFit="1" customWidth="1"/>
    <col min="19" max="19" width="10.7109375" customWidth="1"/>
    <col min="20" max="20" width="10.42578125" bestFit="1" customWidth="1"/>
    <col min="21" max="21" width="1.7109375" customWidth="1"/>
    <col min="22" max="22" width="6.85546875" bestFit="1" customWidth="1"/>
    <col min="23" max="23" width="1.7109375" customWidth="1"/>
    <col min="24" max="24" width="10.7109375" bestFit="1" customWidth="1"/>
    <col min="25" max="25" width="1.7109375" customWidth="1"/>
    <col min="26" max="26" width="7.85546875" bestFit="1" customWidth="1"/>
  </cols>
  <sheetData>
    <row r="1" spans="1:29" ht="19.5" customHeight="1" x14ac:dyDescent="0.25">
      <c r="A1" s="300"/>
      <c r="B1" s="325"/>
      <c r="C1" s="325"/>
      <c r="D1" s="325"/>
      <c r="E1" s="325"/>
      <c r="F1" s="325"/>
      <c r="G1" s="325"/>
      <c r="H1" s="325"/>
      <c r="I1" s="325"/>
    </row>
    <row r="2" spans="1:29" ht="19.5" customHeight="1" x14ac:dyDescent="0.2">
      <c r="A2" s="298" t="str">
        <f>'Investment Assumption Summary'!O5</f>
        <v>Valleyfield Apartments</v>
      </c>
      <c r="B2" s="325"/>
      <c r="C2" s="325"/>
      <c r="D2" s="325"/>
      <c r="E2" s="325"/>
      <c r="F2" s="325"/>
      <c r="G2" s="325"/>
      <c r="H2" s="325"/>
      <c r="I2" s="325"/>
    </row>
    <row r="3" spans="1:29" ht="19.5" customHeight="1" x14ac:dyDescent="0.2">
      <c r="A3" s="301" t="s">
        <v>152</v>
      </c>
      <c r="B3" s="325"/>
      <c r="C3" s="325"/>
      <c r="D3" s="325"/>
      <c r="E3" s="325"/>
      <c r="F3" s="325"/>
      <c r="G3" s="325"/>
      <c r="H3" s="302" t="s">
        <v>135</v>
      </c>
      <c r="I3" s="302" t="s">
        <v>135</v>
      </c>
    </row>
    <row r="4" spans="1:29" s="122" customFormat="1" ht="19.5" customHeight="1" x14ac:dyDescent="0.25">
      <c r="A4" s="123"/>
      <c r="B4" s="121"/>
      <c r="C4" s="121"/>
      <c r="D4" s="121"/>
      <c r="E4" s="121"/>
      <c r="F4" s="124"/>
      <c r="G4" s="125"/>
      <c r="H4" s="1"/>
      <c r="I4" s="1"/>
      <c r="J4" s="121"/>
      <c r="L4" s="1"/>
      <c r="T4" s="1"/>
      <c r="U4" s="1"/>
      <c r="V4" s="1"/>
      <c r="W4" s="1"/>
      <c r="X4" s="1"/>
      <c r="Y4" s="1"/>
      <c r="Z4" s="1"/>
      <c r="AA4" s="1"/>
      <c r="AB4" s="1"/>
    </row>
    <row r="5" spans="1:29" s="122" customFormat="1" ht="19.5" customHeight="1" outlineLevel="1" x14ac:dyDescent="0.25">
      <c r="B5" s="126" t="s">
        <v>98</v>
      </c>
      <c r="C5" s="127"/>
      <c r="D5" s="127"/>
      <c r="E5" s="127"/>
      <c r="F5" s="127"/>
      <c r="G5" s="127"/>
      <c r="H5" s="128"/>
      <c r="I5" s="128"/>
      <c r="J5" s="130"/>
      <c r="L5" s="1"/>
      <c r="T5" s="1"/>
      <c r="U5" s="1"/>
      <c r="V5" s="1"/>
      <c r="W5" s="1"/>
      <c r="X5" s="1"/>
      <c r="Y5" s="1"/>
      <c r="Z5" s="1"/>
      <c r="AA5" s="1"/>
      <c r="AB5" s="1"/>
    </row>
    <row r="6" spans="1:29" s="122" customFormat="1" ht="19.5" customHeight="1" outlineLevel="1" x14ac:dyDescent="0.25">
      <c r="B6" s="132" t="s">
        <v>201</v>
      </c>
      <c r="C6" s="131" t="s">
        <v>94</v>
      </c>
      <c r="D6" s="132" t="s">
        <v>93</v>
      </c>
      <c r="E6" s="132" t="s">
        <v>95</v>
      </c>
      <c r="F6" s="132" t="s">
        <v>97</v>
      </c>
      <c r="G6" s="133" t="s">
        <v>182</v>
      </c>
      <c r="H6" s="133" t="s">
        <v>183</v>
      </c>
      <c r="I6" s="133" t="s">
        <v>184</v>
      </c>
      <c r="J6" s="129"/>
      <c r="M6" s="1"/>
      <c r="U6" s="1"/>
      <c r="V6" s="1"/>
      <c r="W6" s="1"/>
      <c r="X6" s="1"/>
      <c r="Y6" s="1"/>
      <c r="Z6" s="1"/>
      <c r="AA6" s="1"/>
      <c r="AB6" s="1"/>
      <c r="AC6" s="1"/>
    </row>
    <row r="7" spans="1:29" s="122" customFormat="1" ht="19.5" customHeight="1" outlineLevel="1" x14ac:dyDescent="0.25">
      <c r="B7" s="719">
        <v>1</v>
      </c>
      <c r="C7" s="332">
        <v>9</v>
      </c>
      <c r="D7" s="389" t="s">
        <v>551</v>
      </c>
      <c r="E7" s="332">
        <v>288</v>
      </c>
      <c r="F7" s="134">
        <f t="shared" ref="F7:F19" si="0">E7*C7</f>
        <v>2592</v>
      </c>
      <c r="G7" s="558">
        <v>885</v>
      </c>
      <c r="H7" s="559">
        <f t="shared" ref="H7:H19" si="1">IF(C7="","",G7/E7)</f>
        <v>3.0729166666666665</v>
      </c>
      <c r="I7" s="387">
        <f t="shared" ref="I7:I19" si="2">IF(C7="","",G7*C7*12)</f>
        <v>95580</v>
      </c>
      <c r="J7" s="135"/>
      <c r="M7" s="1"/>
      <c r="U7" s="1"/>
      <c r="V7" s="1"/>
      <c r="W7" s="1"/>
      <c r="X7" s="1"/>
      <c r="Y7" s="1"/>
      <c r="Z7" s="1"/>
      <c r="AA7" s="1"/>
      <c r="AB7" s="1"/>
      <c r="AC7" s="1"/>
    </row>
    <row r="8" spans="1:29" s="122" customFormat="1" ht="19.5" customHeight="1" outlineLevel="1" x14ac:dyDescent="0.25">
      <c r="B8" s="719">
        <v>2</v>
      </c>
      <c r="C8" s="332">
        <v>53</v>
      </c>
      <c r="D8" s="389" t="s">
        <v>360</v>
      </c>
      <c r="E8" s="332">
        <v>576</v>
      </c>
      <c r="F8" s="134">
        <f t="shared" si="0"/>
        <v>30528</v>
      </c>
      <c r="G8" s="560">
        <v>933</v>
      </c>
      <c r="H8" s="559">
        <f t="shared" si="1"/>
        <v>1.6197916666666667</v>
      </c>
      <c r="I8" s="387">
        <f t="shared" si="2"/>
        <v>593388</v>
      </c>
      <c r="J8" s="135"/>
      <c r="M8" s="1"/>
      <c r="U8" s="1"/>
      <c r="V8" s="1"/>
      <c r="W8" s="1"/>
      <c r="X8" s="1"/>
      <c r="Y8" s="1"/>
      <c r="Z8" s="1"/>
      <c r="AA8" s="1"/>
      <c r="AB8" s="1"/>
      <c r="AC8" s="1"/>
    </row>
    <row r="9" spans="1:29" s="122" customFormat="1" ht="19.5" customHeight="1" outlineLevel="1" x14ac:dyDescent="0.25">
      <c r="B9" s="331">
        <v>3</v>
      </c>
      <c r="C9" s="332">
        <v>12</v>
      </c>
      <c r="D9" s="389" t="s">
        <v>552</v>
      </c>
      <c r="E9" s="332">
        <v>864</v>
      </c>
      <c r="F9" s="134">
        <f t="shared" si="0"/>
        <v>10368</v>
      </c>
      <c r="G9" s="560">
        <v>1096</v>
      </c>
      <c r="H9" s="559">
        <f t="shared" si="1"/>
        <v>1.2685185185185186</v>
      </c>
      <c r="I9" s="387">
        <f t="shared" si="2"/>
        <v>157824</v>
      </c>
      <c r="J9" s="135"/>
      <c r="M9" s="1"/>
      <c r="U9" s="1"/>
      <c r="V9" s="1"/>
      <c r="W9" s="1"/>
      <c r="X9" s="1"/>
      <c r="Y9" s="1"/>
      <c r="Z9" s="1"/>
      <c r="AA9" s="1"/>
      <c r="AB9" s="1"/>
      <c r="AC9" s="1"/>
    </row>
    <row r="10" spans="1:29" s="122" customFormat="1" ht="19.5" customHeight="1" outlineLevel="1" x14ac:dyDescent="0.25">
      <c r="B10" s="331">
        <v>4</v>
      </c>
      <c r="C10" s="332">
        <v>4</v>
      </c>
      <c r="D10" s="389" t="s">
        <v>553</v>
      </c>
      <c r="E10" s="332">
        <v>864</v>
      </c>
      <c r="F10" s="134">
        <f t="shared" si="0"/>
        <v>3456</v>
      </c>
      <c r="G10" s="560">
        <v>1128</v>
      </c>
      <c r="H10" s="559">
        <f t="shared" si="1"/>
        <v>1.3055555555555556</v>
      </c>
      <c r="I10" s="387">
        <f t="shared" si="2"/>
        <v>54144</v>
      </c>
      <c r="J10" s="135"/>
      <c r="M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122" customFormat="1" ht="19.5" customHeight="1" outlineLevel="1" x14ac:dyDescent="0.25">
      <c r="B11" s="331"/>
      <c r="C11" s="332"/>
      <c r="D11" s="389"/>
      <c r="E11" s="332"/>
      <c r="F11" s="134">
        <f t="shared" si="0"/>
        <v>0</v>
      </c>
      <c r="G11" s="560"/>
      <c r="H11" s="559" t="str">
        <f t="shared" si="1"/>
        <v/>
      </c>
      <c r="I11" s="387" t="str">
        <f t="shared" si="2"/>
        <v/>
      </c>
      <c r="J11" s="135"/>
      <c r="M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122" customFormat="1" ht="19.5" customHeight="1" outlineLevel="1" x14ac:dyDescent="0.25">
      <c r="B12" s="331"/>
      <c r="C12" s="332"/>
      <c r="D12" s="389"/>
      <c r="E12" s="332"/>
      <c r="F12" s="134">
        <f t="shared" si="0"/>
        <v>0</v>
      </c>
      <c r="G12" s="560"/>
      <c r="H12" s="559" t="str">
        <f t="shared" si="1"/>
        <v/>
      </c>
      <c r="I12" s="387" t="str">
        <f t="shared" si="2"/>
        <v/>
      </c>
      <c r="J12" s="135"/>
      <c r="M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122" customFormat="1" ht="19.5" customHeight="1" outlineLevel="1" x14ac:dyDescent="0.25">
      <c r="B13" s="331"/>
      <c r="C13" s="332"/>
      <c r="D13" s="389"/>
      <c r="E13" s="332"/>
      <c r="F13" s="134">
        <f t="shared" si="0"/>
        <v>0</v>
      </c>
      <c r="G13" s="560"/>
      <c r="H13" s="559" t="str">
        <f t="shared" si="1"/>
        <v/>
      </c>
      <c r="I13" s="387" t="str">
        <f t="shared" si="2"/>
        <v/>
      </c>
      <c r="J13" s="135"/>
      <c r="M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122" customFormat="1" ht="19.5" customHeight="1" outlineLevel="1" x14ac:dyDescent="0.25">
      <c r="B14" s="331"/>
      <c r="C14" s="332"/>
      <c r="D14" s="389"/>
      <c r="E14" s="332"/>
      <c r="F14" s="134">
        <f t="shared" si="0"/>
        <v>0</v>
      </c>
      <c r="G14" s="560"/>
      <c r="H14" s="559" t="str">
        <f t="shared" si="1"/>
        <v/>
      </c>
      <c r="I14" s="387" t="str">
        <f t="shared" si="2"/>
        <v/>
      </c>
      <c r="J14" s="135"/>
      <c r="M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122" customFormat="1" ht="19.5" customHeight="1" outlineLevel="1" x14ac:dyDescent="0.25">
      <c r="B15" s="331"/>
      <c r="C15" s="332"/>
      <c r="D15" s="389"/>
      <c r="E15" s="332"/>
      <c r="F15" s="134">
        <f t="shared" si="0"/>
        <v>0</v>
      </c>
      <c r="G15" s="560"/>
      <c r="H15" s="559" t="str">
        <f t="shared" si="1"/>
        <v/>
      </c>
      <c r="I15" s="387" t="str">
        <f t="shared" si="2"/>
        <v/>
      </c>
      <c r="J15" s="135"/>
      <c r="M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122" customFormat="1" ht="19.5" customHeight="1" outlineLevel="1" x14ac:dyDescent="0.25">
      <c r="B16" s="331"/>
      <c r="C16" s="332"/>
      <c r="D16" s="389"/>
      <c r="E16" s="332"/>
      <c r="F16" s="134">
        <f t="shared" si="0"/>
        <v>0</v>
      </c>
      <c r="G16" s="560"/>
      <c r="H16" s="559" t="str">
        <f t="shared" si="1"/>
        <v/>
      </c>
      <c r="I16" s="387" t="str">
        <f t="shared" si="2"/>
        <v/>
      </c>
      <c r="J16" s="135"/>
      <c r="M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s="122" customFormat="1" ht="19.5" customHeight="1" outlineLevel="1" x14ac:dyDescent="0.25">
      <c r="B17" s="331"/>
      <c r="C17" s="332"/>
      <c r="D17" s="389"/>
      <c r="E17" s="332"/>
      <c r="F17" s="134">
        <f t="shared" si="0"/>
        <v>0</v>
      </c>
      <c r="G17" s="560"/>
      <c r="H17" s="559" t="str">
        <f t="shared" si="1"/>
        <v/>
      </c>
      <c r="I17" s="387" t="str">
        <f t="shared" si="2"/>
        <v/>
      </c>
      <c r="J17" s="135"/>
      <c r="M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s="122" customFormat="1" ht="19.5" customHeight="1" outlineLevel="1" x14ac:dyDescent="0.25">
      <c r="B18" s="331"/>
      <c r="C18" s="332"/>
      <c r="D18" s="389"/>
      <c r="E18" s="332"/>
      <c r="F18" s="134">
        <f t="shared" si="0"/>
        <v>0</v>
      </c>
      <c r="G18" s="560"/>
      <c r="H18" s="559" t="str">
        <f t="shared" si="1"/>
        <v/>
      </c>
      <c r="I18" s="387" t="str">
        <f t="shared" si="2"/>
        <v/>
      </c>
      <c r="J18" s="135"/>
      <c r="M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s="122" customFormat="1" ht="19.5" customHeight="1" outlineLevel="1" x14ac:dyDescent="0.25">
      <c r="B19" s="331"/>
      <c r="C19" s="388"/>
      <c r="D19" s="390"/>
      <c r="E19" s="388"/>
      <c r="F19" s="134">
        <f t="shared" si="0"/>
        <v>0</v>
      </c>
      <c r="G19" s="561"/>
      <c r="H19" s="563" t="str">
        <f t="shared" si="1"/>
        <v/>
      </c>
      <c r="I19" s="562" t="str">
        <f t="shared" si="2"/>
        <v/>
      </c>
      <c r="J19" s="135"/>
      <c r="M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s="122" customFormat="1" ht="19.5" customHeight="1" outlineLevel="1" x14ac:dyDescent="0.25">
      <c r="B20" s="720"/>
      <c r="C20" s="564">
        <f>SUM(C7:C19)</f>
        <v>78</v>
      </c>
      <c r="D20" s="136" t="s">
        <v>96</v>
      </c>
      <c r="E20" s="137">
        <f>+SUMPRODUCT(C7:C19,E7:E19)/C20</f>
        <v>601.84615384615381</v>
      </c>
      <c r="F20" s="572">
        <f>SUM(F7:F19)</f>
        <v>46944</v>
      </c>
      <c r="G20" s="139">
        <f>+SUMPRODUCT(G7:G19,$F$7:$F$19)/$F$20</f>
        <v>980.70552147239266</v>
      </c>
      <c r="H20" s="138">
        <f>+SUMPRODUCT(H7:H19,$F$7:$F$19)/$F$20</f>
        <v>1.5993098159509203</v>
      </c>
      <c r="I20" s="140">
        <f>SUM(I7:I19)</f>
        <v>900936</v>
      </c>
      <c r="J20" s="135"/>
      <c r="P20" s="141"/>
      <c r="R20" s="142"/>
      <c r="S20" s="142"/>
    </row>
    <row r="21" spans="2:29" s="122" customFormat="1" ht="19.5" customHeight="1" outlineLevel="1" x14ac:dyDescent="0.25">
      <c r="B21" s="1"/>
      <c r="C21" s="1"/>
      <c r="D21" s="1"/>
      <c r="E21" s="1"/>
      <c r="F21" s="1"/>
      <c r="G21" s="143"/>
      <c r="H21" s="1"/>
      <c r="I21" s="1"/>
      <c r="J21" s="1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9" s="122" customFormat="1" ht="19.5" customHeight="1" outlineLevel="1" x14ac:dyDescent="0.25">
      <c r="B22" s="126" t="s">
        <v>99</v>
      </c>
      <c r="C22" s="127"/>
      <c r="D22" s="127"/>
      <c r="E22" s="128"/>
      <c r="F22" s="128"/>
      <c r="G22" s="1"/>
      <c r="H22" s="1"/>
      <c r="I22" s="1"/>
      <c r="J22" s="130"/>
      <c r="L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9" s="122" customFormat="1" ht="19.5" customHeight="1" outlineLevel="1" x14ac:dyDescent="0.25">
      <c r="B23" s="144" t="s">
        <v>17</v>
      </c>
      <c r="C23" s="145" t="s">
        <v>100</v>
      </c>
      <c r="D23" s="145" t="s">
        <v>102</v>
      </c>
      <c r="E23" s="146" t="s">
        <v>101</v>
      </c>
      <c r="F23" s="146" t="s">
        <v>363</v>
      </c>
      <c r="G23" s="1"/>
      <c r="H23" s="1"/>
      <c r="I23" s="1"/>
      <c r="J23" s="130"/>
      <c r="L23" s="1"/>
      <c r="P23" s="1"/>
      <c r="Q23" s="147"/>
      <c r="R23" s="1"/>
      <c r="S23" s="1"/>
      <c r="T23" s="1"/>
      <c r="U23" s="1"/>
      <c r="V23" s="1"/>
      <c r="W23" s="1"/>
      <c r="X23" s="1"/>
      <c r="Y23" s="1"/>
      <c r="Z23" s="1"/>
    </row>
    <row r="24" spans="2:29" s="122" customFormat="1" ht="19.5" customHeight="1" outlineLevel="1" x14ac:dyDescent="0.25">
      <c r="B24" s="391" t="s">
        <v>362</v>
      </c>
      <c r="C24" s="733">
        <f>$D$24/$C$20</f>
        <v>127.89888888888888</v>
      </c>
      <c r="D24" s="143">
        <f>$E$24/12</f>
        <v>9976.1133333333328</v>
      </c>
      <c r="E24" s="148">
        <f>'T12'!Q24</f>
        <v>119713.36</v>
      </c>
      <c r="F24" s="128"/>
      <c r="G24" s="1"/>
      <c r="H24" s="1"/>
      <c r="I24" s="1"/>
      <c r="J24" s="130"/>
      <c r="L24" s="1"/>
      <c r="P24" s="1"/>
      <c r="Q24" s="147"/>
      <c r="R24" s="1"/>
      <c r="S24" s="1"/>
      <c r="T24" s="1"/>
      <c r="U24" s="1"/>
      <c r="V24" s="1"/>
      <c r="W24" s="1"/>
      <c r="X24" s="1"/>
      <c r="Y24" s="1"/>
      <c r="Z24" s="1"/>
    </row>
    <row r="25" spans="2:29" s="122" customFormat="1" ht="19.5" customHeight="1" outlineLevel="1" x14ac:dyDescent="0.25">
      <c r="B25" s="734" t="s">
        <v>193</v>
      </c>
      <c r="C25" s="740">
        <v>0</v>
      </c>
      <c r="D25" s="738">
        <f t="shared" ref="D25:D39" si="3">C25*$C$20</f>
        <v>0</v>
      </c>
      <c r="E25" s="739">
        <f>D25*12</f>
        <v>0</v>
      </c>
      <c r="F25" s="735" t="s">
        <v>364</v>
      </c>
      <c r="G25" s="1"/>
      <c r="H25" s="1"/>
      <c r="I25" s="1"/>
      <c r="J25" s="130"/>
      <c r="L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9" s="122" customFormat="1" ht="19.5" customHeight="1" outlineLevel="1" x14ac:dyDescent="0.25">
      <c r="B26" s="391" t="s">
        <v>194</v>
      </c>
      <c r="C26" s="332">
        <v>0</v>
      </c>
      <c r="D26" s="149">
        <f t="shared" si="3"/>
        <v>0</v>
      </c>
      <c r="E26" s="150">
        <f t="shared" ref="E26" si="4">D26*12</f>
        <v>0</v>
      </c>
      <c r="F26" s="735" t="s">
        <v>364</v>
      </c>
      <c r="G26" s="1"/>
      <c r="H26" s="1"/>
      <c r="I26" s="1"/>
      <c r="J26" s="130"/>
      <c r="L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9" s="122" customFormat="1" ht="19.5" customHeight="1" outlineLevel="1" x14ac:dyDescent="0.25">
      <c r="B27" s="391" t="s">
        <v>195</v>
      </c>
      <c r="C27" s="332">
        <v>0</v>
      </c>
      <c r="D27" s="149">
        <f t="shared" si="3"/>
        <v>0</v>
      </c>
      <c r="E27" s="150">
        <f t="shared" ref="E27" si="5">D27*12</f>
        <v>0</v>
      </c>
      <c r="F27" s="735" t="s">
        <v>364</v>
      </c>
      <c r="G27" s="152"/>
      <c r="H27" s="1"/>
      <c r="I27" s="1"/>
      <c r="J27" s="130"/>
      <c r="L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9" s="122" customFormat="1" ht="19.5" customHeight="1" outlineLevel="1" x14ac:dyDescent="0.25">
      <c r="B28" s="391" t="s">
        <v>196</v>
      </c>
      <c r="C28" s="332">
        <v>0</v>
      </c>
      <c r="D28" s="149">
        <f t="shared" si="3"/>
        <v>0</v>
      </c>
      <c r="E28" s="150">
        <f t="shared" ref="E28:E38" si="6">D28*12</f>
        <v>0</v>
      </c>
      <c r="F28" s="735" t="s">
        <v>364</v>
      </c>
      <c r="G28" s="147"/>
      <c r="H28" s="1"/>
      <c r="I28" s="1"/>
      <c r="J28" s="130"/>
      <c r="L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9" s="122" customFormat="1" ht="19.5" customHeight="1" outlineLevel="1" x14ac:dyDescent="0.25">
      <c r="B29" s="391" t="s">
        <v>197</v>
      </c>
      <c r="C29" s="332">
        <v>0</v>
      </c>
      <c r="D29" s="149">
        <f t="shared" si="3"/>
        <v>0</v>
      </c>
      <c r="E29" s="150">
        <f t="shared" si="6"/>
        <v>0</v>
      </c>
      <c r="F29" s="735" t="s">
        <v>364</v>
      </c>
      <c r="G29" s="1"/>
      <c r="H29" s="1"/>
      <c r="I29" s="1"/>
      <c r="J29" s="130"/>
      <c r="L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9" s="122" customFormat="1" ht="19.5" customHeight="1" outlineLevel="1" x14ac:dyDescent="0.25">
      <c r="B30" s="391" t="s">
        <v>198</v>
      </c>
      <c r="C30" s="332">
        <v>0</v>
      </c>
      <c r="D30" s="149">
        <f t="shared" si="3"/>
        <v>0</v>
      </c>
      <c r="E30" s="150">
        <f t="shared" si="6"/>
        <v>0</v>
      </c>
      <c r="F30" s="735" t="s">
        <v>364</v>
      </c>
      <c r="G30" s="1"/>
      <c r="H30" s="1"/>
      <c r="I30" s="1"/>
      <c r="J30" s="130"/>
      <c r="L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9" s="122" customFormat="1" ht="19.5" customHeight="1" outlineLevel="1" x14ac:dyDescent="0.25">
      <c r="B31" s="391" t="s">
        <v>199</v>
      </c>
      <c r="C31" s="332">
        <v>0</v>
      </c>
      <c r="D31" s="149">
        <f t="shared" si="3"/>
        <v>0</v>
      </c>
      <c r="E31" s="150">
        <f t="shared" si="6"/>
        <v>0</v>
      </c>
      <c r="F31" s="735" t="s">
        <v>364</v>
      </c>
      <c r="G31" s="1"/>
      <c r="H31" s="1"/>
      <c r="I31" s="1"/>
      <c r="J31" s="130"/>
      <c r="L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9" s="122" customFormat="1" ht="19.5" customHeight="1" outlineLevel="1" x14ac:dyDescent="0.25">
      <c r="B32" s="391" t="s">
        <v>200</v>
      </c>
      <c r="C32" s="332">
        <v>0</v>
      </c>
      <c r="D32" s="149">
        <f t="shared" si="3"/>
        <v>0</v>
      </c>
      <c r="E32" s="150">
        <f t="shared" si="6"/>
        <v>0</v>
      </c>
      <c r="F32" s="735" t="s">
        <v>364</v>
      </c>
      <c r="G32" s="1"/>
      <c r="H32" s="1"/>
      <c r="I32" s="1"/>
      <c r="J32" s="130"/>
      <c r="L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s="122" customFormat="1" ht="19.5" customHeight="1" outlineLevel="1" x14ac:dyDescent="0.25">
      <c r="B33" s="391" t="s">
        <v>157</v>
      </c>
      <c r="C33" s="332">
        <v>0</v>
      </c>
      <c r="D33" s="149">
        <f t="shared" si="3"/>
        <v>0</v>
      </c>
      <c r="E33" s="150">
        <f t="shared" si="6"/>
        <v>0</v>
      </c>
      <c r="F33" s="735" t="s">
        <v>364</v>
      </c>
      <c r="G33" s="1"/>
      <c r="H33" s="1"/>
      <c r="I33" s="1"/>
      <c r="J33" s="130"/>
      <c r="L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s="122" customFormat="1" ht="19.5" customHeight="1" outlineLevel="1" x14ac:dyDescent="0.25">
      <c r="B34" s="391" t="s">
        <v>158</v>
      </c>
      <c r="C34" s="332">
        <v>0</v>
      </c>
      <c r="D34" s="149">
        <f t="shared" si="3"/>
        <v>0</v>
      </c>
      <c r="E34" s="150">
        <f t="shared" si="6"/>
        <v>0</v>
      </c>
      <c r="F34" s="735" t="s">
        <v>364</v>
      </c>
      <c r="G34" s="1"/>
      <c r="H34" s="1"/>
      <c r="I34" s="1"/>
      <c r="J34" s="130"/>
      <c r="L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s="122" customFormat="1" ht="19.5" customHeight="1" outlineLevel="1" x14ac:dyDescent="0.25">
      <c r="B35" s="392" t="s">
        <v>159</v>
      </c>
      <c r="C35" s="332">
        <v>0</v>
      </c>
      <c r="D35" s="149">
        <f t="shared" si="3"/>
        <v>0</v>
      </c>
      <c r="E35" s="150">
        <f t="shared" si="6"/>
        <v>0</v>
      </c>
      <c r="F35" s="735" t="s">
        <v>364</v>
      </c>
      <c r="G35" s="1"/>
      <c r="H35" s="1"/>
      <c r="I35" s="1"/>
      <c r="J35" s="130"/>
      <c r="L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s="122" customFormat="1" ht="19.5" customHeight="1" outlineLevel="1" x14ac:dyDescent="0.25">
      <c r="B36" s="391" t="s">
        <v>160</v>
      </c>
      <c r="C36" s="332">
        <v>0</v>
      </c>
      <c r="D36" s="149">
        <f t="shared" si="3"/>
        <v>0</v>
      </c>
      <c r="E36" s="150">
        <f t="shared" si="6"/>
        <v>0</v>
      </c>
      <c r="F36" s="735" t="s">
        <v>364</v>
      </c>
      <c r="G36" s="1"/>
      <c r="H36" s="1"/>
      <c r="I36" s="1"/>
      <c r="J36" s="130"/>
      <c r="L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s="122" customFormat="1" ht="19.5" customHeight="1" outlineLevel="1" x14ac:dyDescent="0.25">
      <c r="B37" s="391" t="s">
        <v>161</v>
      </c>
      <c r="C37" s="332">
        <v>0</v>
      </c>
      <c r="D37" s="149">
        <f t="shared" si="3"/>
        <v>0</v>
      </c>
      <c r="E37" s="150">
        <f t="shared" si="6"/>
        <v>0</v>
      </c>
      <c r="F37" s="735" t="s">
        <v>364</v>
      </c>
      <c r="G37" s="1"/>
      <c r="H37" s="1"/>
      <c r="I37" s="1"/>
      <c r="J37" s="130"/>
      <c r="L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s="122" customFormat="1" ht="19.5" customHeight="1" outlineLevel="1" x14ac:dyDescent="0.25">
      <c r="B38" s="391" t="s">
        <v>162</v>
      </c>
      <c r="C38" s="332">
        <v>0</v>
      </c>
      <c r="D38" s="149">
        <f t="shared" si="3"/>
        <v>0</v>
      </c>
      <c r="E38" s="150">
        <f t="shared" si="6"/>
        <v>0</v>
      </c>
      <c r="F38" s="735" t="s">
        <v>364</v>
      </c>
      <c r="G38" s="1"/>
      <c r="H38" s="1"/>
      <c r="I38" s="1"/>
      <c r="J38" s="130"/>
      <c r="L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s="122" customFormat="1" ht="19.5" customHeight="1" outlineLevel="1" x14ac:dyDescent="0.25">
      <c r="B39" s="393" t="s">
        <v>163</v>
      </c>
      <c r="C39" s="388">
        <v>0</v>
      </c>
      <c r="D39" s="394">
        <f t="shared" si="3"/>
        <v>0</v>
      </c>
      <c r="E39" s="395">
        <f t="shared" ref="E39" si="7">D39*12</f>
        <v>0</v>
      </c>
      <c r="F39" s="735" t="s">
        <v>364</v>
      </c>
      <c r="G39" s="1"/>
      <c r="H39" s="1"/>
      <c r="I39" s="1"/>
      <c r="J39" s="130"/>
      <c r="L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s="122" customFormat="1" ht="19.5" customHeight="1" outlineLevel="1" x14ac:dyDescent="0.25">
      <c r="B40" s="151" t="s">
        <v>32</v>
      </c>
      <c r="C40" s="736">
        <f t="shared" ref="C40:D40" si="8">C24 + SUMIF($F$25:$F$39, "ADD", C25:C39) - SUMIF($F$25:$F$39, "SUBTRACT", C25:C39)</f>
        <v>127.89888888888888</v>
      </c>
      <c r="D40" s="736">
        <f t="shared" si="8"/>
        <v>9976.1133333333328</v>
      </c>
      <c r="E40" s="737">
        <f>E24 + SUMIF($F$25:$F$39, "ADD", E25:E39) - SUMIF($F$25:$F$39, "SUBTRACT", E25:E39)</f>
        <v>119713.36</v>
      </c>
      <c r="F40" s="741"/>
      <c r="G40" s="1"/>
      <c r="H40" s="1"/>
      <c r="I40" s="1"/>
      <c r="J40" s="130"/>
      <c r="L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9.5" customHeight="1" outlineLevel="1" x14ac:dyDescent="0.25">
      <c r="D41" s="149"/>
    </row>
    <row r="42" spans="2:26" ht="19.5" customHeight="1" outlineLevel="1" x14ac:dyDescent="0.25"/>
    <row r="43" spans="2:26" ht="19.5" customHeight="1" outlineLevel="1" x14ac:dyDescent="0.25"/>
    <row r="44" spans="2:26" ht="19.5" customHeight="1" outlineLevel="1" x14ac:dyDescent="0.25"/>
    <row r="45" spans="2:26" ht="19.5" customHeight="1" outlineLevel="1" x14ac:dyDescent="0.25"/>
    <row r="46" spans="2:26" ht="19.5" customHeight="1" outlineLevel="1" x14ac:dyDescent="0.25"/>
    <row r="47" spans="2:26" ht="19.5" customHeight="1" outlineLevel="1" x14ac:dyDescent="0.25"/>
    <row r="48" spans="2:26" ht="19.5" customHeight="1" outlineLevel="1" x14ac:dyDescent="0.25"/>
    <row r="49" ht="19.5" customHeight="1" outlineLevel="1" x14ac:dyDescent="0.25"/>
    <row r="50" ht="19.5" customHeight="1" outlineLevel="1" x14ac:dyDescent="0.25"/>
    <row r="51" ht="19.5" customHeight="1" outlineLevel="1" x14ac:dyDescent="0.25"/>
    <row r="52" ht="19.5" customHeight="1" outlineLevel="1" x14ac:dyDescent="0.25"/>
    <row r="53" ht="19.5" customHeight="1" outlineLevel="1" x14ac:dyDescent="0.25"/>
    <row r="54" ht="19.5" customHeight="1" outlineLevel="1" x14ac:dyDescent="0.25"/>
    <row r="55" ht="19.5" customHeight="1" outlineLevel="1" x14ac:dyDescent="0.25"/>
    <row r="56" ht="19.5" customHeight="1" outlineLevel="1" x14ac:dyDescent="0.25"/>
    <row r="57" ht="19.5" customHeight="1" outlineLevel="1" x14ac:dyDescent="0.25"/>
    <row r="58" ht="19.5" customHeight="1" outlineLevel="1" x14ac:dyDescent="0.25"/>
    <row r="59" ht="19.5" customHeight="1" outlineLevel="1" x14ac:dyDescent="0.25"/>
    <row r="61" ht="19.5" customHeight="1" outlineLevel="1" x14ac:dyDescent="0.25"/>
    <row r="62" ht="19.5" customHeight="1" outlineLevel="1" x14ac:dyDescent="0.25"/>
    <row r="63" ht="19.5" customHeight="1" outlineLevel="1" x14ac:dyDescent="0.25"/>
    <row r="64" ht="19.5" customHeight="1" outlineLevel="1" x14ac:dyDescent="0.25"/>
    <row r="65" ht="19.5" customHeight="1" outlineLevel="1" x14ac:dyDescent="0.25"/>
    <row r="66" ht="19.5" customHeight="1" outlineLevel="1" x14ac:dyDescent="0.25"/>
    <row r="67" ht="19.5" customHeight="1" outlineLevel="1" x14ac:dyDescent="0.25"/>
    <row r="68" ht="19.5" customHeight="1" outlineLevel="1" x14ac:dyDescent="0.25"/>
    <row r="69" ht="19.5" customHeight="1" outlineLevel="1" x14ac:dyDescent="0.25"/>
    <row r="70" ht="19.5" customHeight="1" outlineLevel="1" x14ac:dyDescent="0.25"/>
    <row r="71" ht="19.5" customHeight="1" outlineLevel="1" x14ac:dyDescent="0.25"/>
    <row r="72" ht="19.5" customHeight="1" outlineLevel="1" x14ac:dyDescent="0.25"/>
    <row r="73" ht="19.5" customHeight="1" outlineLevel="1" x14ac:dyDescent="0.25"/>
    <row r="74" ht="19.5" customHeight="1" outlineLevel="1" x14ac:dyDescent="0.25"/>
    <row r="75" ht="19.5" customHeight="1" outlineLevel="1" x14ac:dyDescent="0.25"/>
    <row r="76" ht="19.5" customHeight="1" outlineLevel="1" x14ac:dyDescent="0.25"/>
    <row r="77" ht="19.5" customHeight="1" outlineLevel="1" x14ac:dyDescent="0.25"/>
    <row r="78" ht="19.5" customHeight="1" outlineLevel="1" x14ac:dyDescent="0.25"/>
    <row r="79" ht="19.5" customHeight="1" outlineLevel="1" x14ac:dyDescent="0.25"/>
    <row r="80" ht="19.5" customHeight="1" outlineLevel="1" x14ac:dyDescent="0.25"/>
    <row r="81" ht="19.5" customHeight="1" outlineLevel="1" x14ac:dyDescent="0.25"/>
    <row r="82" ht="19.5" customHeight="1" outlineLevel="1" x14ac:dyDescent="0.25"/>
    <row r="83" ht="19.5" customHeight="1" outlineLevel="1" x14ac:dyDescent="0.25"/>
    <row r="84" ht="19.5" customHeight="1" outlineLevel="1" x14ac:dyDescent="0.25"/>
    <row r="85" ht="19.5" customHeight="1" outlineLevel="1" x14ac:dyDescent="0.25"/>
    <row r="86" ht="19.5" customHeight="1" outlineLevel="1" x14ac:dyDescent="0.25"/>
    <row r="87" ht="19.5" customHeight="1" outlineLevel="1" x14ac:dyDescent="0.25"/>
    <row r="88" ht="19.5" customHeight="1" outlineLevel="1" x14ac:dyDescent="0.25"/>
    <row r="89" ht="19.5" customHeight="1" outlineLevel="1" x14ac:dyDescent="0.25"/>
    <row r="90" ht="19.5" customHeight="1" outlineLevel="1" x14ac:dyDescent="0.25"/>
    <row r="91" ht="19.5" customHeight="1" outlineLevel="1" x14ac:dyDescent="0.25"/>
    <row r="92" ht="19.5" customHeight="1" outlineLevel="1" x14ac:dyDescent="0.25"/>
    <row r="93" ht="19.5" customHeight="1" outlineLevel="1" x14ac:dyDescent="0.25"/>
    <row r="94" ht="19.5" customHeight="1" outlineLevel="1" x14ac:dyDescent="0.25"/>
    <row r="95" ht="19.5" customHeight="1" outlineLevel="1" x14ac:dyDescent="0.25"/>
    <row r="96" ht="19.5" customHeight="1" outlineLevel="1" x14ac:dyDescent="0.25"/>
    <row r="97" ht="19.5" customHeight="1" outlineLevel="1" x14ac:dyDescent="0.25"/>
    <row r="98" ht="19.5" customHeight="1" outlineLevel="1" x14ac:dyDescent="0.25"/>
    <row r="99" ht="19.5" customHeight="1" outlineLevel="1" x14ac:dyDescent="0.25"/>
    <row r="100" ht="19.5" customHeight="1" outlineLevel="1" x14ac:dyDescent="0.25"/>
    <row r="101" ht="19.5" customHeight="1" outlineLevel="1" x14ac:dyDescent="0.25"/>
    <row r="102" ht="19.5" customHeight="1" outlineLevel="1" x14ac:dyDescent="0.25"/>
    <row r="104" ht="19.5" customHeight="1" outlineLevel="1" x14ac:dyDescent="0.25"/>
    <row r="105" ht="19.5" customHeight="1" outlineLevel="1" x14ac:dyDescent="0.25"/>
    <row r="106" ht="19.5" customHeight="1" outlineLevel="1" x14ac:dyDescent="0.25"/>
    <row r="107" ht="19.5" customHeight="1" outlineLevel="1" x14ac:dyDescent="0.25"/>
    <row r="108" ht="19.5" customHeight="1" outlineLevel="1" x14ac:dyDescent="0.25"/>
    <row r="109" ht="19.5" customHeight="1" outlineLevel="1" x14ac:dyDescent="0.25"/>
    <row r="110" ht="19.5" customHeight="1" outlineLevel="1" x14ac:dyDescent="0.25"/>
    <row r="111" ht="19.5" customHeight="1" outlineLevel="1" x14ac:dyDescent="0.25"/>
    <row r="112" ht="19.5" customHeight="1" outlineLevel="1" x14ac:dyDescent="0.25"/>
    <row r="113" ht="19.5" customHeight="1" outlineLevel="1" x14ac:dyDescent="0.25"/>
    <row r="114" ht="19.5" customHeight="1" outlineLevel="1" x14ac:dyDescent="0.25"/>
    <row r="115" ht="19.5" customHeight="1" outlineLevel="1" x14ac:dyDescent="0.25"/>
    <row r="116" ht="19.5" customHeight="1" outlineLevel="1" x14ac:dyDescent="0.25"/>
    <row r="117" ht="19.5" customHeight="1" outlineLevel="1" x14ac:dyDescent="0.25"/>
    <row r="118" ht="19.5" customHeight="1" outlineLevel="1" x14ac:dyDescent="0.25"/>
    <row r="119" ht="19.5" customHeight="1" outlineLevel="1" x14ac:dyDescent="0.25"/>
    <row r="120" ht="19.5" customHeight="1" outlineLevel="1" x14ac:dyDescent="0.25"/>
    <row r="121" ht="19.5" customHeight="1" outlineLevel="1" x14ac:dyDescent="0.25"/>
    <row r="122" ht="19.5" customHeight="1" outlineLevel="1" x14ac:dyDescent="0.25"/>
    <row r="123" ht="19.5" customHeight="1" outlineLevel="1" x14ac:dyDescent="0.25"/>
    <row r="124" ht="19.5" customHeight="1" outlineLevel="1" x14ac:dyDescent="0.25"/>
    <row r="125" ht="19.5" customHeight="1" outlineLevel="1" x14ac:dyDescent="0.25"/>
    <row r="126" ht="19.5" customHeight="1" outlineLevel="1" x14ac:dyDescent="0.25"/>
    <row r="127" ht="19.5" customHeight="1" outlineLevel="1" x14ac:dyDescent="0.25"/>
    <row r="128" ht="19.5" customHeight="1" outlineLevel="1" x14ac:dyDescent="0.25"/>
    <row r="129" ht="19.5" customHeight="1" outlineLevel="1" x14ac:dyDescent="0.25"/>
    <row r="130" ht="19.5" customHeight="1" outlineLevel="1" x14ac:dyDescent="0.25"/>
    <row r="131" ht="19.5" customHeight="1" outlineLevel="1" x14ac:dyDescent="0.25"/>
    <row r="132" ht="19.5" customHeight="1" outlineLevel="1" x14ac:dyDescent="0.25"/>
    <row r="133" ht="19.5" customHeight="1" outlineLevel="1" x14ac:dyDescent="0.25"/>
    <row r="134" ht="19.5" customHeight="1" outlineLevel="1" x14ac:dyDescent="0.25"/>
    <row r="135" ht="19.5" customHeight="1" outlineLevel="1" x14ac:dyDescent="0.25"/>
    <row r="136" ht="19.5" customHeight="1" outlineLevel="1" x14ac:dyDescent="0.25"/>
    <row r="137" ht="19.5" customHeight="1" outlineLevel="1" x14ac:dyDescent="0.25"/>
    <row r="138" ht="19.5" customHeight="1" outlineLevel="1" x14ac:dyDescent="0.25"/>
    <row r="139" ht="19.5" customHeight="1" outlineLevel="1" x14ac:dyDescent="0.25"/>
    <row r="140" ht="19.5" customHeight="1" outlineLevel="1" x14ac:dyDescent="0.25"/>
    <row r="141" ht="19.5" customHeight="1" outlineLevel="1" x14ac:dyDescent="0.25"/>
    <row r="142" ht="19.5" customHeight="1" outlineLevel="1" x14ac:dyDescent="0.25"/>
    <row r="143" ht="19.5" customHeight="1" outlineLevel="1" x14ac:dyDescent="0.25"/>
    <row r="144" ht="19.5" customHeight="1" outlineLevel="1" x14ac:dyDescent="0.25"/>
    <row r="145" spans="1:1" ht="19.5" customHeight="1" outlineLevel="1" x14ac:dyDescent="0.25"/>
    <row r="151" spans="1:1" ht="19.5" customHeight="1" x14ac:dyDescent="0.25">
      <c r="A151" s="123"/>
    </row>
  </sheetData>
  <sortState xmlns:xlrd2="http://schemas.microsoft.com/office/spreadsheetml/2017/richdata2" ref="E9:E18">
    <sortCondition ref="E18"/>
  </sortState>
  <phoneticPr fontId="9" type="noConversion"/>
  <dataValidations count="1">
    <dataValidation type="list" allowBlank="1" showInputMessage="1" showErrorMessage="1" sqref="F25:F39" xr:uid="{2149DE54-C047-7D4B-B1CE-B43B5824367B}">
      <formula1>"ADD,SUBTRACT"</formula1>
    </dataValidation>
  </dataValidations>
  <printOptions horizontalCentered="1"/>
  <pageMargins left="0.5" right="0.5" top="1.26" bottom="0.75" header="0.35" footer="0.5"/>
  <pageSetup scale="52" fitToHeight="3" orientation="landscape" horizontalDpi="300" verticalDpi="300" copies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3D78-27B1-43E9-82B1-F5C4F4A480AE}">
  <sheetPr>
    <tabColor theme="1" tint="0.34998626667073579"/>
    <pageSetUpPr fitToPage="1"/>
  </sheetPr>
  <dimension ref="A1:G25"/>
  <sheetViews>
    <sheetView showGridLines="0" zoomScale="90" zoomScaleNormal="99" workbookViewId="0">
      <selection activeCell="E23" sqref="E23"/>
    </sheetView>
  </sheetViews>
  <sheetFormatPr defaultColWidth="8.7109375" defaultRowHeight="15" x14ac:dyDescent="0.25"/>
  <cols>
    <col min="1" max="1" width="1.7109375" style="122" customWidth="1"/>
    <col min="2" max="2" width="6.7109375" style="122" bestFit="1" customWidth="1"/>
    <col min="3" max="3" width="31.7109375" style="122" bestFit="1" customWidth="1"/>
    <col min="4" max="4" width="14" style="122" customWidth="1"/>
    <col min="5" max="5" width="14.42578125" style="122" bestFit="1" customWidth="1"/>
    <col min="6" max="6" width="43.7109375" style="122" bestFit="1" customWidth="1"/>
    <col min="7" max="7" width="1.7109375" style="122" customWidth="1"/>
    <col min="8" max="16384" width="8.7109375" style="122"/>
  </cols>
  <sheetData>
    <row r="1" spans="1:7" x14ac:dyDescent="0.25">
      <c r="A1" s="296"/>
      <c r="B1" s="145"/>
      <c r="C1" s="145"/>
      <c r="D1" s="145"/>
      <c r="E1" s="145"/>
      <c r="F1" s="145"/>
      <c r="G1" s="297"/>
    </row>
    <row r="2" spans="1:7" ht="18.75" x14ac:dyDescent="0.25">
      <c r="A2" s="298" t="str">
        <f>'Investment Assumption Summary'!O5</f>
        <v>Valleyfield Apartments</v>
      </c>
      <c r="B2" s="299"/>
      <c r="C2" s="299"/>
      <c r="D2" s="299"/>
      <c r="E2" s="299"/>
      <c r="F2" s="299"/>
      <c r="G2" s="300"/>
    </row>
    <row r="3" spans="1:7" ht="15.75" x14ac:dyDescent="0.25">
      <c r="A3" s="301" t="s">
        <v>134</v>
      </c>
      <c r="B3" s="299"/>
      <c r="C3" s="299"/>
      <c r="D3" s="299"/>
      <c r="E3" s="299"/>
      <c r="F3" s="299"/>
      <c r="G3" s="302" t="s">
        <v>135</v>
      </c>
    </row>
    <row r="4" spans="1:7" x14ac:dyDescent="0.25">
      <c r="B4" s="303"/>
      <c r="C4" s="303"/>
      <c r="D4" s="303"/>
      <c r="E4" s="303"/>
      <c r="F4" s="303"/>
    </row>
    <row r="5" spans="1:7" x14ac:dyDescent="0.25">
      <c r="C5" s="304" t="s">
        <v>136</v>
      </c>
      <c r="D5" s="305">
        <f>'Investment Assumption Summary'!K38</f>
        <v>6016762.9333333336</v>
      </c>
    </row>
    <row r="6" spans="1:7" x14ac:dyDescent="0.25">
      <c r="C6" s="306" t="s">
        <v>137</v>
      </c>
      <c r="D6" s="307">
        <f>'Investment Assumption Summary'!K22</f>
        <v>48244</v>
      </c>
    </row>
    <row r="7" spans="1:7" ht="21" x14ac:dyDescent="0.35">
      <c r="B7" s="308"/>
    </row>
    <row r="8" spans="1:7" x14ac:dyDescent="0.25">
      <c r="B8" s="309" t="s">
        <v>16</v>
      </c>
      <c r="C8" s="310" t="s">
        <v>17</v>
      </c>
      <c r="D8" s="310" t="s">
        <v>138</v>
      </c>
      <c r="E8" s="311" t="s">
        <v>139</v>
      </c>
      <c r="F8" s="310" t="s">
        <v>18</v>
      </c>
    </row>
    <row r="9" spans="1:7" x14ac:dyDescent="0.25">
      <c r="B9" s="312">
        <v>1</v>
      </c>
      <c r="C9" s="313" t="s">
        <v>140</v>
      </c>
      <c r="D9" s="314">
        <f t="shared" ref="D9:D23" si="0">$D$5*E9</f>
        <v>0</v>
      </c>
      <c r="E9" s="315">
        <v>0</v>
      </c>
      <c r="F9" s="313"/>
    </row>
    <row r="10" spans="1:7" x14ac:dyDescent="0.25">
      <c r="B10" s="312">
        <f>B9+1</f>
        <v>2</v>
      </c>
      <c r="C10" s="313" t="s">
        <v>141</v>
      </c>
      <c r="D10" s="396">
        <f t="shared" si="0"/>
        <v>0</v>
      </c>
      <c r="E10" s="315">
        <v>0</v>
      </c>
      <c r="F10" s="313"/>
    </row>
    <row r="11" spans="1:7" x14ac:dyDescent="0.25">
      <c r="B11" s="312">
        <f t="shared" ref="B11:B23" si="1">B10+1</f>
        <v>3</v>
      </c>
      <c r="C11" s="313" t="s">
        <v>142</v>
      </c>
      <c r="D11" s="396">
        <f t="shared" si="0"/>
        <v>0</v>
      </c>
      <c r="E11" s="315">
        <v>0</v>
      </c>
      <c r="F11" s="313"/>
    </row>
    <row r="12" spans="1:7" x14ac:dyDescent="0.25">
      <c r="B12" s="312">
        <f t="shared" si="1"/>
        <v>4</v>
      </c>
      <c r="C12" s="313" t="s">
        <v>86</v>
      </c>
      <c r="D12" s="396">
        <f t="shared" si="0"/>
        <v>0</v>
      </c>
      <c r="E12" s="315">
        <v>0</v>
      </c>
      <c r="F12" s="313"/>
    </row>
    <row r="13" spans="1:7" x14ac:dyDescent="0.25">
      <c r="B13" s="312">
        <f t="shared" si="1"/>
        <v>5</v>
      </c>
      <c r="C13" s="313" t="s">
        <v>143</v>
      </c>
      <c r="D13" s="396">
        <f t="shared" si="0"/>
        <v>0</v>
      </c>
      <c r="E13" s="315">
        <v>0</v>
      </c>
      <c r="F13" s="313"/>
    </row>
    <row r="14" spans="1:7" x14ac:dyDescent="0.25">
      <c r="B14" s="312">
        <f t="shared" si="1"/>
        <v>6</v>
      </c>
      <c r="C14" s="313" t="s">
        <v>144</v>
      </c>
      <c r="D14" s="396">
        <f t="shared" ref="D14:D21" si="2">$D$5*E14</f>
        <v>0</v>
      </c>
      <c r="E14" s="315">
        <v>0</v>
      </c>
      <c r="F14" s="313"/>
    </row>
    <row r="15" spans="1:7" x14ac:dyDescent="0.25">
      <c r="B15" s="312">
        <f t="shared" si="1"/>
        <v>7</v>
      </c>
      <c r="C15" s="313" t="s">
        <v>145</v>
      </c>
      <c r="D15" s="396">
        <f t="shared" si="2"/>
        <v>0</v>
      </c>
      <c r="E15" s="315">
        <v>0</v>
      </c>
      <c r="F15" s="313"/>
    </row>
    <row r="16" spans="1:7" x14ac:dyDescent="0.25">
      <c r="B16" s="312">
        <f t="shared" si="1"/>
        <v>8</v>
      </c>
      <c r="C16" s="313" t="s">
        <v>146</v>
      </c>
      <c r="D16" s="396">
        <f t="shared" si="2"/>
        <v>0</v>
      </c>
      <c r="E16" s="315">
        <v>0</v>
      </c>
      <c r="F16" s="313"/>
    </row>
    <row r="17" spans="2:6" x14ac:dyDescent="0.25">
      <c r="B17" s="312">
        <f t="shared" si="1"/>
        <v>9</v>
      </c>
      <c r="C17" s="313" t="s">
        <v>147</v>
      </c>
      <c r="D17" s="396">
        <f t="shared" si="2"/>
        <v>0</v>
      </c>
      <c r="E17" s="315">
        <v>0</v>
      </c>
      <c r="F17" s="313"/>
    </row>
    <row r="18" spans="2:6" x14ac:dyDescent="0.25">
      <c r="B18" s="312">
        <f t="shared" si="1"/>
        <v>10</v>
      </c>
      <c r="C18" s="313" t="s">
        <v>148</v>
      </c>
      <c r="D18" s="396">
        <f t="shared" si="2"/>
        <v>0</v>
      </c>
      <c r="E18" s="315">
        <v>0</v>
      </c>
      <c r="F18" s="313"/>
    </row>
    <row r="19" spans="2:6" x14ac:dyDescent="0.25">
      <c r="B19" s="312">
        <f t="shared" si="1"/>
        <v>11</v>
      </c>
      <c r="C19" s="313" t="s">
        <v>149</v>
      </c>
      <c r="D19" s="396">
        <f t="shared" si="2"/>
        <v>0</v>
      </c>
      <c r="E19" s="315">
        <v>0</v>
      </c>
      <c r="F19" s="313"/>
    </row>
    <row r="20" spans="2:6" x14ac:dyDescent="0.25">
      <c r="B20" s="312">
        <f t="shared" si="1"/>
        <v>12</v>
      </c>
      <c r="C20" s="313"/>
      <c r="D20" s="396">
        <f t="shared" si="2"/>
        <v>0</v>
      </c>
      <c r="E20" s="315">
        <v>0</v>
      </c>
      <c r="F20" s="313"/>
    </row>
    <row r="21" spans="2:6" x14ac:dyDescent="0.25">
      <c r="B21" s="312">
        <f t="shared" si="1"/>
        <v>13</v>
      </c>
      <c r="C21" s="313" t="s">
        <v>19</v>
      </c>
      <c r="D21" s="396">
        <f t="shared" si="2"/>
        <v>0</v>
      </c>
      <c r="E21" s="315">
        <v>0</v>
      </c>
      <c r="F21" s="313"/>
    </row>
    <row r="22" spans="2:6" x14ac:dyDescent="0.25">
      <c r="B22" s="312">
        <f t="shared" si="1"/>
        <v>14</v>
      </c>
      <c r="C22" s="319" t="s">
        <v>165</v>
      </c>
      <c r="D22" s="396">
        <f t="shared" si="0"/>
        <v>120335.25866666668</v>
      </c>
      <c r="E22" s="315">
        <v>0.02</v>
      </c>
      <c r="F22" s="313"/>
    </row>
    <row r="23" spans="2:6" x14ac:dyDescent="0.25">
      <c r="B23" s="312">
        <f t="shared" si="1"/>
        <v>15</v>
      </c>
      <c r="C23" s="313"/>
      <c r="D23" s="396">
        <f t="shared" si="0"/>
        <v>0</v>
      </c>
      <c r="E23" s="315">
        <v>0</v>
      </c>
      <c r="F23" s="313"/>
    </row>
    <row r="24" spans="2:6" x14ac:dyDescent="0.25">
      <c r="C24" s="311" t="s">
        <v>32</v>
      </c>
      <c r="D24" s="316">
        <f>SUM(D9:D23)</f>
        <v>120335.25866666668</v>
      </c>
      <c r="E24" s="317">
        <f>D24/D5</f>
        <v>0.02</v>
      </c>
    </row>
    <row r="25" spans="2:6" x14ac:dyDescent="0.25">
      <c r="C25" s="311" t="s">
        <v>150</v>
      </c>
      <c r="D25" s="318">
        <f>D24/D6</f>
        <v>2.4943051709366277</v>
      </c>
    </row>
  </sheetData>
  <pageMargins left="0.7" right="0.7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8EA7-41A5-4EA2-9F9F-5A3F360D07DA}">
  <sheetPr>
    <tabColor theme="1" tint="0.34998626667073579"/>
    <pageSetUpPr fitToPage="1"/>
  </sheetPr>
  <dimension ref="A1:G25"/>
  <sheetViews>
    <sheetView showGridLines="0" zoomScale="105" zoomScaleNormal="116" workbookViewId="0">
      <selection activeCell="D24" sqref="D24"/>
    </sheetView>
  </sheetViews>
  <sheetFormatPr defaultColWidth="8.7109375" defaultRowHeight="15" x14ac:dyDescent="0.25"/>
  <cols>
    <col min="1" max="1" width="1.7109375" style="122" customWidth="1"/>
    <col min="2" max="2" width="6.7109375" style="122" bestFit="1" customWidth="1"/>
    <col min="3" max="3" width="31.7109375" style="122" bestFit="1" customWidth="1"/>
    <col min="4" max="4" width="14" style="122" customWidth="1"/>
    <col min="5" max="5" width="14.42578125" style="122" bestFit="1" customWidth="1"/>
    <col min="6" max="6" width="43.7109375" style="122" bestFit="1" customWidth="1"/>
    <col min="7" max="7" width="1.7109375" style="122" customWidth="1"/>
    <col min="8" max="16384" width="8.7109375" style="122"/>
  </cols>
  <sheetData>
    <row r="1" spans="1:7" x14ac:dyDescent="0.25">
      <c r="A1" s="296"/>
      <c r="B1" s="145"/>
      <c r="C1" s="145"/>
      <c r="D1" s="145"/>
      <c r="E1" s="145"/>
      <c r="F1" s="145"/>
      <c r="G1" s="297"/>
    </row>
    <row r="2" spans="1:7" ht="18.75" x14ac:dyDescent="0.25">
      <c r="A2" s="298" t="str">
        <f>'Investment Assumption Summary'!O5</f>
        <v>Valleyfield Apartments</v>
      </c>
      <c r="B2" s="299"/>
      <c r="C2" s="299"/>
      <c r="D2" s="299"/>
      <c r="E2" s="299"/>
      <c r="F2" s="299"/>
      <c r="G2" s="300"/>
    </row>
    <row r="3" spans="1:7" ht="15.75" x14ac:dyDescent="0.25">
      <c r="A3" s="301" t="s">
        <v>113</v>
      </c>
      <c r="B3" s="299"/>
      <c r="C3" s="299"/>
      <c r="D3" s="299"/>
      <c r="E3" s="299"/>
      <c r="F3" s="299"/>
      <c r="G3" s="302" t="s">
        <v>135</v>
      </c>
    </row>
    <row r="4" spans="1:7" x14ac:dyDescent="0.25">
      <c r="B4" s="303"/>
      <c r="C4" s="303"/>
      <c r="D4" s="303"/>
      <c r="E4" s="303"/>
      <c r="F4" s="303"/>
    </row>
    <row r="5" spans="1:7" x14ac:dyDescent="0.25">
      <c r="C5" s="304" t="s">
        <v>136</v>
      </c>
      <c r="D5" s="305">
        <f>'Investment Assumption Summary'!K38</f>
        <v>6016762.9333333336</v>
      </c>
    </row>
    <row r="6" spans="1:7" x14ac:dyDescent="0.25">
      <c r="C6" s="306" t="s">
        <v>137</v>
      </c>
      <c r="D6" s="307">
        <f>'Investment Assumption Summary'!K22</f>
        <v>48244</v>
      </c>
    </row>
    <row r="7" spans="1:7" ht="21" x14ac:dyDescent="0.35">
      <c r="B7" s="308"/>
    </row>
    <row r="8" spans="1:7" x14ac:dyDescent="0.25">
      <c r="B8" s="309" t="s">
        <v>16</v>
      </c>
      <c r="C8" s="310" t="s">
        <v>17</v>
      </c>
      <c r="D8" s="310" t="s">
        <v>138</v>
      </c>
      <c r="E8" s="311" t="s">
        <v>139</v>
      </c>
      <c r="F8" s="310" t="s">
        <v>18</v>
      </c>
    </row>
    <row r="9" spans="1:7" x14ac:dyDescent="0.25">
      <c r="B9" s="312">
        <v>1</v>
      </c>
      <c r="C9" s="313"/>
      <c r="D9" s="323">
        <v>0</v>
      </c>
      <c r="E9" s="324">
        <f>D9/$D$5</f>
        <v>0</v>
      </c>
      <c r="F9" s="313"/>
    </row>
    <row r="10" spans="1:7" x14ac:dyDescent="0.25">
      <c r="B10" s="312">
        <f>B9+1</f>
        <v>2</v>
      </c>
      <c r="C10" s="313"/>
      <c r="D10" s="397">
        <v>0</v>
      </c>
      <c r="E10" s="324">
        <f t="shared" ref="E10:E23" si="0">D10/$D$5</f>
        <v>0</v>
      </c>
      <c r="F10" s="313"/>
    </row>
    <row r="11" spans="1:7" x14ac:dyDescent="0.25">
      <c r="B11" s="312">
        <f t="shared" ref="B11:B23" si="1">B10+1</f>
        <v>3</v>
      </c>
      <c r="C11" s="313"/>
      <c r="D11" s="397">
        <v>0</v>
      </c>
      <c r="E11" s="324">
        <f t="shared" si="0"/>
        <v>0</v>
      </c>
      <c r="F11" s="313"/>
    </row>
    <row r="12" spans="1:7" x14ac:dyDescent="0.25">
      <c r="B12" s="312">
        <f t="shared" si="1"/>
        <v>4</v>
      </c>
      <c r="C12" s="313"/>
      <c r="D12" s="397">
        <v>0</v>
      </c>
      <c r="E12" s="324">
        <f t="shared" si="0"/>
        <v>0</v>
      </c>
      <c r="F12" s="313"/>
    </row>
    <row r="13" spans="1:7" x14ac:dyDescent="0.25">
      <c r="B13" s="312">
        <f t="shared" si="1"/>
        <v>5</v>
      </c>
      <c r="C13" s="313"/>
      <c r="D13" s="397">
        <v>0</v>
      </c>
      <c r="E13" s="324">
        <f t="shared" si="0"/>
        <v>0</v>
      </c>
      <c r="F13" s="313"/>
    </row>
    <row r="14" spans="1:7" x14ac:dyDescent="0.25">
      <c r="B14" s="312">
        <f t="shared" si="1"/>
        <v>6</v>
      </c>
      <c r="C14" s="313"/>
      <c r="D14" s="397">
        <v>0</v>
      </c>
      <c r="E14" s="324">
        <f t="shared" si="0"/>
        <v>0</v>
      </c>
      <c r="F14" s="313"/>
    </row>
    <row r="15" spans="1:7" x14ac:dyDescent="0.25">
      <c r="B15" s="312">
        <f t="shared" si="1"/>
        <v>7</v>
      </c>
      <c r="C15" s="313"/>
      <c r="D15" s="397">
        <v>0</v>
      </c>
      <c r="E15" s="324">
        <f t="shared" si="0"/>
        <v>0</v>
      </c>
      <c r="F15" s="313"/>
    </row>
    <row r="16" spans="1:7" x14ac:dyDescent="0.25">
      <c r="B16" s="312">
        <f t="shared" si="1"/>
        <v>8</v>
      </c>
      <c r="C16" s="313"/>
      <c r="D16" s="397">
        <v>0</v>
      </c>
      <c r="E16" s="324">
        <f t="shared" si="0"/>
        <v>0</v>
      </c>
      <c r="F16" s="313"/>
    </row>
    <row r="17" spans="2:6" x14ac:dyDescent="0.25">
      <c r="B17" s="312">
        <f t="shared" si="1"/>
        <v>9</v>
      </c>
      <c r="C17" s="313"/>
      <c r="D17" s="397">
        <v>0</v>
      </c>
      <c r="E17" s="324">
        <f t="shared" si="0"/>
        <v>0</v>
      </c>
      <c r="F17" s="313"/>
    </row>
    <row r="18" spans="2:6" x14ac:dyDescent="0.25">
      <c r="B18" s="312">
        <f t="shared" si="1"/>
        <v>10</v>
      </c>
      <c r="C18" s="313"/>
      <c r="D18" s="397">
        <v>0</v>
      </c>
      <c r="E18" s="324">
        <f t="shared" si="0"/>
        <v>0</v>
      </c>
      <c r="F18" s="313"/>
    </row>
    <row r="19" spans="2:6" x14ac:dyDescent="0.25">
      <c r="B19" s="312">
        <f t="shared" si="1"/>
        <v>11</v>
      </c>
      <c r="C19" s="313"/>
      <c r="D19" s="397">
        <v>0</v>
      </c>
      <c r="E19" s="324">
        <f t="shared" si="0"/>
        <v>0</v>
      </c>
      <c r="F19" s="313"/>
    </row>
    <row r="20" spans="2:6" x14ac:dyDescent="0.25">
      <c r="B20" s="312">
        <f t="shared" si="1"/>
        <v>12</v>
      </c>
      <c r="C20" s="313"/>
      <c r="D20" s="397">
        <v>0</v>
      </c>
      <c r="E20" s="324">
        <f t="shared" si="0"/>
        <v>0</v>
      </c>
      <c r="F20" s="313"/>
    </row>
    <row r="21" spans="2:6" x14ac:dyDescent="0.25">
      <c r="B21" s="312">
        <f t="shared" si="1"/>
        <v>13</v>
      </c>
      <c r="C21" s="313"/>
      <c r="D21" s="397">
        <v>0</v>
      </c>
      <c r="E21" s="324">
        <f t="shared" si="0"/>
        <v>0</v>
      </c>
      <c r="F21" s="313"/>
    </row>
    <row r="22" spans="2:6" x14ac:dyDescent="0.25">
      <c r="B22" s="312">
        <f t="shared" si="1"/>
        <v>14</v>
      </c>
      <c r="C22" s="319"/>
      <c r="D22" s="397">
        <v>0</v>
      </c>
      <c r="E22" s="324">
        <f t="shared" si="0"/>
        <v>0</v>
      </c>
      <c r="F22" s="313"/>
    </row>
    <row r="23" spans="2:6" x14ac:dyDescent="0.25">
      <c r="B23" s="312">
        <f t="shared" si="1"/>
        <v>15</v>
      </c>
      <c r="C23" s="313"/>
      <c r="D23" s="397">
        <v>0</v>
      </c>
      <c r="E23" s="324">
        <f t="shared" si="0"/>
        <v>0</v>
      </c>
      <c r="F23" s="313"/>
    </row>
    <row r="24" spans="2:6" x14ac:dyDescent="0.25">
      <c r="C24" s="311" t="s">
        <v>32</v>
      </c>
      <c r="D24" s="316">
        <f>SUM(D9:D23)</f>
        <v>0</v>
      </c>
      <c r="E24" s="317">
        <f>D24/D5</f>
        <v>0</v>
      </c>
    </row>
    <row r="25" spans="2:6" x14ac:dyDescent="0.25">
      <c r="C25" s="311" t="s">
        <v>150</v>
      </c>
      <c r="D25" s="318">
        <f>D24/D6</f>
        <v>0</v>
      </c>
    </row>
  </sheetData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34998626667073579"/>
  </sheetPr>
  <dimension ref="A1:X376"/>
  <sheetViews>
    <sheetView showGridLines="0" zoomScale="115" zoomScaleNormal="115" workbookViewId="0">
      <selection activeCell="G53" sqref="G53"/>
    </sheetView>
  </sheetViews>
  <sheetFormatPr defaultColWidth="0" defaultRowHeight="9" zeroHeight="1" x14ac:dyDescent="0.15"/>
  <cols>
    <col min="1" max="1" width="2.7109375" style="274" customWidth="1"/>
    <col min="2" max="2" width="4.28515625" style="274" customWidth="1"/>
    <col min="3" max="3" width="7.7109375" style="274" customWidth="1"/>
    <col min="4" max="4" width="16.7109375" style="274" customWidth="1"/>
    <col min="5" max="5" width="10.7109375" style="274" customWidth="1"/>
    <col min="6" max="6" width="12.42578125" style="274" customWidth="1"/>
    <col min="7" max="7" width="20" style="274" customWidth="1"/>
    <col min="8" max="8" width="2.28515625" style="275" customWidth="1"/>
    <col min="9" max="9" width="2.7109375" style="274" customWidth="1"/>
    <col min="10" max="10" width="4.28515625" style="274" customWidth="1"/>
    <col min="11" max="11" width="7.7109375" style="274" customWidth="1"/>
    <col min="12" max="12" width="16.7109375" style="274" customWidth="1"/>
    <col min="13" max="13" width="10.7109375" style="274" customWidth="1"/>
    <col min="14" max="14" width="12.42578125" style="274" customWidth="1"/>
    <col min="15" max="15" width="20" style="274" customWidth="1"/>
    <col min="16" max="16" width="2.28515625" style="275" customWidth="1"/>
    <col min="17" max="17" width="2.28515625" style="441" hidden="1" customWidth="1"/>
    <col min="18" max="18" width="3.140625" style="275" hidden="1" customWidth="1"/>
    <col min="19" max="19" width="7.7109375" style="275" hidden="1" customWidth="1"/>
    <col min="20" max="20" width="14.28515625" style="275" hidden="1" customWidth="1"/>
    <col min="21" max="21" width="6" style="275" hidden="1" customWidth="1"/>
    <col min="22" max="22" width="9.28515625" style="275" hidden="1" customWidth="1"/>
    <col min="23" max="23" width="11.85546875" style="442" hidden="1" customWidth="1"/>
    <col min="24" max="24" width="2.28515625" style="275" customWidth="1"/>
    <col min="25" max="16384" width="8" style="274" hidden="1"/>
  </cols>
  <sheetData>
    <row r="1" spans="1:23" x14ac:dyDescent="0.15">
      <c r="A1" s="272"/>
      <c r="B1" s="272"/>
      <c r="C1" s="272"/>
      <c r="D1" s="272"/>
      <c r="E1" s="272"/>
      <c r="F1" s="272"/>
      <c r="G1" s="272"/>
      <c r="H1" s="273"/>
      <c r="Q1" s="438"/>
      <c r="R1" s="439"/>
      <c r="S1" s="439"/>
      <c r="T1" s="439"/>
      <c r="U1" s="439"/>
      <c r="V1" s="439"/>
      <c r="W1" s="440"/>
    </row>
    <row r="2" spans="1:23" ht="9.75" thickBot="1" x14ac:dyDescent="0.2">
      <c r="A2" s="272"/>
      <c r="B2" s="272"/>
      <c r="C2" s="272"/>
      <c r="D2" s="272"/>
      <c r="E2" s="272"/>
      <c r="F2" s="272"/>
      <c r="G2" s="272"/>
      <c r="H2" s="276"/>
      <c r="Q2" s="413"/>
      <c r="R2" s="274"/>
      <c r="S2" s="274"/>
      <c r="T2" s="274"/>
      <c r="U2" s="274"/>
      <c r="V2" s="274"/>
      <c r="W2" s="414"/>
    </row>
    <row r="3" spans="1:23" ht="18" customHeight="1" thickBot="1" x14ac:dyDescent="0.2">
      <c r="A3" s="814" t="s">
        <v>69</v>
      </c>
      <c r="B3" s="815"/>
      <c r="C3" s="815"/>
      <c r="D3" s="815"/>
      <c r="E3" s="815"/>
      <c r="F3" s="815"/>
      <c r="G3" s="816"/>
      <c r="H3" s="277"/>
      <c r="I3" s="814" t="s">
        <v>91</v>
      </c>
      <c r="J3" s="815"/>
      <c r="K3" s="815"/>
      <c r="L3" s="815"/>
      <c r="M3" s="815"/>
      <c r="N3" s="815"/>
      <c r="O3" s="816"/>
      <c r="Q3" s="814"/>
      <c r="R3" s="815"/>
      <c r="S3" s="815"/>
      <c r="T3" s="815"/>
      <c r="U3" s="815"/>
      <c r="V3" s="815"/>
      <c r="W3" s="816"/>
    </row>
    <row r="4" spans="1:23" x14ac:dyDescent="0.15">
      <c r="A4" s="398"/>
      <c r="B4" s="272"/>
      <c r="C4" s="272"/>
      <c r="D4" s="272"/>
      <c r="E4" s="272"/>
      <c r="F4" s="272"/>
      <c r="G4" s="399"/>
      <c r="H4" s="276"/>
      <c r="I4" s="413"/>
      <c r="O4" s="414"/>
      <c r="Q4" s="413"/>
      <c r="R4" s="274"/>
      <c r="S4" s="274"/>
      <c r="T4" s="274"/>
      <c r="U4" s="274"/>
      <c r="V4" s="274"/>
      <c r="W4" s="414"/>
    </row>
    <row r="5" spans="1:23" x14ac:dyDescent="0.15">
      <c r="A5" s="398"/>
      <c r="B5" s="272"/>
      <c r="C5" s="272"/>
      <c r="D5" s="272" t="s">
        <v>38</v>
      </c>
      <c r="E5" s="272"/>
      <c r="F5" s="400">
        <f>'Investment Assumption Summary'!K18</f>
        <v>45292</v>
      </c>
      <c r="G5" s="401"/>
      <c r="H5" s="279"/>
      <c r="I5" s="413"/>
      <c r="L5" s="274" t="s">
        <v>38</v>
      </c>
      <c r="N5" s="415" cm="1">
        <f t="array" ref="N5">_xlfn.IFS('Investment Assumption Summary'!F50="YES",F7+1,'Investment Assumption Summary'!F50="NO",'Investment Assumption Summary'!K18)</f>
        <v>45292</v>
      </c>
      <c r="O5" s="416"/>
      <c r="Q5" s="413"/>
      <c r="R5" s="274"/>
      <c r="S5" s="274"/>
      <c r="T5" s="274"/>
      <c r="U5" s="274"/>
      <c r="V5" s="400"/>
      <c r="W5" s="416"/>
    </row>
    <row r="6" spans="1:23" x14ac:dyDescent="0.15">
      <c r="A6" s="398"/>
      <c r="B6" s="272"/>
      <c r="C6" s="272"/>
      <c r="D6" s="272" t="s">
        <v>39</v>
      </c>
      <c r="E6" s="272"/>
      <c r="F6" s="402">
        <f>+'Investment Assumption Summary'!F51</f>
        <v>120</v>
      </c>
      <c r="G6" s="399"/>
      <c r="H6" s="276"/>
      <c r="I6" s="413"/>
      <c r="L6" s="274" t="s">
        <v>39</v>
      </c>
      <c r="N6" s="417">
        <f>+'Investment Assumption Summary'!F47*12</f>
        <v>120</v>
      </c>
      <c r="O6" s="418"/>
      <c r="Q6" s="413"/>
      <c r="R6" s="274"/>
      <c r="S6" s="274"/>
      <c r="T6" s="274"/>
      <c r="U6" s="274"/>
      <c r="V6" s="434"/>
      <c r="W6" s="418"/>
    </row>
    <row r="7" spans="1:23" x14ac:dyDescent="0.15">
      <c r="A7" s="398"/>
      <c r="B7" s="272"/>
      <c r="C7" s="272"/>
      <c r="D7" s="272" t="s">
        <v>40</v>
      </c>
      <c r="E7" s="272"/>
      <c r="F7" s="400">
        <f>EDATE(F5,F6)-1</f>
        <v>48944</v>
      </c>
      <c r="G7" s="401"/>
      <c r="H7" s="279"/>
      <c r="I7" s="413"/>
      <c r="L7" s="274" t="s">
        <v>40</v>
      </c>
      <c r="N7" s="415">
        <f>EDATE(N5,N6)-1</f>
        <v>48944</v>
      </c>
      <c r="O7" s="416"/>
      <c r="Q7" s="413"/>
      <c r="R7" s="274"/>
      <c r="S7" s="274"/>
      <c r="T7" s="274"/>
      <c r="U7" s="274"/>
      <c r="V7" s="415"/>
      <c r="W7" s="416"/>
    </row>
    <row r="8" spans="1:23" x14ac:dyDescent="0.15">
      <c r="A8" s="398"/>
      <c r="B8" s="272"/>
      <c r="C8" s="272"/>
      <c r="D8" s="272" t="s">
        <v>41</v>
      </c>
      <c r="E8" s="272"/>
      <c r="F8" s="403" cm="1">
        <f t="array" ref="F8">_xlfn.IFS('Investment Assumption Summary'!F50="YES",'Investment Assumption Summary'!$K$32,'Investment Assumption Summary'!F50="NO",0)</f>
        <v>0</v>
      </c>
      <c r="G8" s="404"/>
      <c r="H8" s="281"/>
      <c r="I8" s="413"/>
      <c r="L8" s="274" t="s">
        <v>41</v>
      </c>
      <c r="N8" s="419">
        <f>'Investment Assumption Summary'!K32</f>
        <v>3682258.9151999997</v>
      </c>
      <c r="O8" s="420"/>
      <c r="Q8" s="413"/>
      <c r="R8" s="274"/>
      <c r="S8" s="274"/>
      <c r="T8" s="274"/>
      <c r="U8" s="274"/>
      <c r="V8" s="419"/>
      <c r="W8" s="420"/>
    </row>
    <row r="9" spans="1:23" x14ac:dyDescent="0.15">
      <c r="A9" s="398"/>
      <c r="B9" s="272"/>
      <c r="C9" s="272"/>
      <c r="D9" s="272" t="s">
        <v>1</v>
      </c>
      <c r="E9" s="272"/>
      <c r="F9" s="405">
        <f>+'Investment Assumption Summary'!F49</f>
        <v>6.5000000000000002E-2</v>
      </c>
      <c r="G9" s="406"/>
      <c r="H9" s="282"/>
      <c r="I9" s="413"/>
      <c r="L9" s="274" t="s">
        <v>1</v>
      </c>
      <c r="N9" s="421">
        <f>+'Investment Assumption Summary'!F49</f>
        <v>6.5000000000000002E-2</v>
      </c>
      <c r="O9" s="422"/>
      <c r="Q9" s="413"/>
      <c r="R9" s="274"/>
      <c r="S9" s="274"/>
      <c r="T9" s="274"/>
      <c r="U9" s="274"/>
      <c r="V9" s="435"/>
      <c r="W9" s="422"/>
    </row>
    <row r="10" spans="1:23" x14ac:dyDescent="0.15">
      <c r="A10" s="398"/>
      <c r="B10" s="272"/>
      <c r="C10" s="272"/>
      <c r="D10" s="272" t="s">
        <v>42</v>
      </c>
      <c r="E10" s="272"/>
      <c r="F10" s="407">
        <v>0</v>
      </c>
      <c r="G10" s="399"/>
      <c r="H10" s="276"/>
      <c r="I10" s="413"/>
      <c r="L10" s="274" t="s">
        <v>42</v>
      </c>
      <c r="M10" s="283"/>
      <c r="N10" s="423">
        <f>+'Investment Assumption Summary'!F48*12</f>
        <v>360</v>
      </c>
      <c r="O10" s="424"/>
      <c r="Q10" s="413"/>
      <c r="R10" s="274"/>
      <c r="S10" s="274"/>
      <c r="T10" s="274"/>
      <c r="U10" s="283"/>
      <c r="V10" s="436"/>
      <c r="W10" s="424"/>
    </row>
    <row r="11" spans="1:23" x14ac:dyDescent="0.15">
      <c r="A11" s="398"/>
      <c r="B11" s="272"/>
      <c r="C11" s="272"/>
      <c r="D11" s="272" t="s">
        <v>43</v>
      </c>
      <c r="E11" s="272"/>
      <c r="F11" s="408">
        <f>IF(F10=0,-(F8*F9)/12,PMT(F9/12,F10,F8,0))</f>
        <v>0</v>
      </c>
      <c r="G11" s="409"/>
      <c r="H11" s="284"/>
      <c r="I11" s="413"/>
      <c r="L11" s="274" t="s">
        <v>43</v>
      </c>
      <c r="M11" s="283"/>
      <c r="N11" s="425">
        <f>IF(N10=0,-(N8*N9)/12,PMT(N9/12,N10,N8,0))</f>
        <v>-23274.381145198084</v>
      </c>
      <c r="O11" s="426"/>
      <c r="Q11" s="413"/>
      <c r="R11" s="274"/>
      <c r="S11" s="274"/>
      <c r="T11" s="274"/>
      <c r="U11" s="283"/>
      <c r="V11" s="425"/>
      <c r="W11" s="426"/>
    </row>
    <row r="12" spans="1:23" x14ac:dyDescent="0.15">
      <c r="A12" s="398"/>
      <c r="B12" s="272"/>
      <c r="C12" s="272"/>
      <c r="D12" s="274" t="s">
        <v>118</v>
      </c>
      <c r="E12" s="283"/>
      <c r="F12" s="286">
        <f>F11*12</f>
        <v>0</v>
      </c>
      <c r="G12" s="404"/>
      <c r="H12" s="281"/>
      <c r="I12" s="413"/>
      <c r="L12" s="274" t="s">
        <v>118</v>
      </c>
      <c r="M12" s="283"/>
      <c r="N12" s="286">
        <f>N11*12</f>
        <v>-279292.57374237699</v>
      </c>
      <c r="O12" s="427"/>
      <c r="Q12" s="413"/>
      <c r="R12" s="274"/>
      <c r="S12" s="274"/>
      <c r="T12" s="274"/>
      <c r="U12" s="283"/>
      <c r="V12" s="286"/>
      <c r="W12" s="427"/>
    </row>
    <row r="13" spans="1:23" ht="9.75" thickBot="1" x14ac:dyDescent="0.2">
      <c r="A13" s="398"/>
      <c r="B13" s="272"/>
      <c r="C13" s="272"/>
      <c r="D13" s="272"/>
      <c r="E13" s="272"/>
      <c r="F13" s="272"/>
      <c r="G13" s="399"/>
      <c r="H13" s="276"/>
      <c r="I13" s="413"/>
      <c r="M13" s="283"/>
      <c r="N13" s="283"/>
      <c r="O13" s="424"/>
      <c r="Q13" s="413"/>
      <c r="R13" s="274"/>
      <c r="S13" s="274"/>
      <c r="T13" s="274"/>
      <c r="U13" s="283"/>
      <c r="V13" s="283"/>
      <c r="W13" s="424"/>
    </row>
    <row r="14" spans="1:23" ht="15" customHeight="1" thickBot="1" x14ac:dyDescent="0.2">
      <c r="A14" s="410"/>
      <c r="B14" s="287" t="s">
        <v>44</v>
      </c>
      <c r="C14" s="287" t="s">
        <v>29</v>
      </c>
      <c r="D14" s="287" t="s">
        <v>45</v>
      </c>
      <c r="E14" s="287" t="s">
        <v>46</v>
      </c>
      <c r="F14" s="287" t="s">
        <v>47</v>
      </c>
      <c r="G14" s="289" t="s">
        <v>48</v>
      </c>
      <c r="H14" s="288"/>
      <c r="I14" s="410"/>
      <c r="J14" s="287" t="s">
        <v>44</v>
      </c>
      <c r="K14" s="287" t="s">
        <v>29</v>
      </c>
      <c r="L14" s="287" t="s">
        <v>45</v>
      </c>
      <c r="M14" s="287" t="s">
        <v>46</v>
      </c>
      <c r="N14" s="287" t="s">
        <v>47</v>
      </c>
      <c r="O14" s="289" t="s">
        <v>48</v>
      </c>
      <c r="Q14" s="410"/>
      <c r="R14" s="287"/>
      <c r="S14" s="287"/>
      <c r="T14" s="287"/>
      <c r="U14" s="287"/>
      <c r="V14" s="287"/>
      <c r="W14" s="289"/>
    </row>
    <row r="15" spans="1:23" ht="13.35" customHeight="1" x14ac:dyDescent="0.15">
      <c r="A15" s="398"/>
      <c r="B15" s="272">
        <v>1</v>
      </c>
      <c r="C15" s="278">
        <f>EOMONTH(F5,0)</f>
        <v>45322</v>
      </c>
      <c r="D15" s="280">
        <f>F8</f>
        <v>0</v>
      </c>
      <c r="E15" s="280">
        <f>(D15*$F$9)/12</f>
        <v>0</v>
      </c>
      <c r="F15" s="280">
        <f>IF($F$10=0,0,IF(B15&gt;$F$6,0,-$F$11-E15))</f>
        <v>0</v>
      </c>
      <c r="G15" s="404">
        <f>IF(B15&gt;$F$6,0,D15-F15)</f>
        <v>0</v>
      </c>
      <c r="H15" s="281"/>
      <c r="I15" s="413"/>
      <c r="J15" s="274">
        <v>1</v>
      </c>
      <c r="K15" s="428">
        <f>EDATE(N5,1)-1</f>
        <v>45322</v>
      </c>
      <c r="L15" s="286">
        <f>N8</f>
        <v>3682258.9151999997</v>
      </c>
      <c r="M15" s="286">
        <f>IF(K15&gt;$N$7,0,(L15*$N$9)/12)</f>
        <v>19945.569123999998</v>
      </c>
      <c r="N15" s="285">
        <f>IF(K15&gt;$N$7,0,-$N$11-M15)</f>
        <v>3328.8120211980859</v>
      </c>
      <c r="O15" s="427">
        <f>IF(J15&gt;$N$6,0,L15-N15)</f>
        <v>3678930.1031788015</v>
      </c>
      <c r="Q15" s="413"/>
      <c r="R15" s="274"/>
      <c r="S15" s="428"/>
      <c r="T15" s="437"/>
      <c r="U15" s="286"/>
      <c r="V15" s="285"/>
      <c r="W15" s="427"/>
    </row>
    <row r="16" spans="1:23" x14ac:dyDescent="0.15">
      <c r="A16" s="398"/>
      <c r="B16" s="272">
        <v>2</v>
      </c>
      <c r="C16" s="278">
        <f>EOMONTH(C15,1)</f>
        <v>45351</v>
      </c>
      <c r="D16" s="280">
        <f>IF(B16&gt;$F$6,0,G15)</f>
        <v>0</v>
      </c>
      <c r="E16" s="280">
        <f t="shared" ref="E16:E79" si="0">(D16*$F$9)/12</f>
        <v>0</v>
      </c>
      <c r="F16" s="280">
        <f t="shared" ref="F16:F79" si="1">IF($F$10=0,0,IF(B16&gt;$F$6,0,-$F$11-E16))</f>
        <v>0</v>
      </c>
      <c r="G16" s="404">
        <f t="shared" ref="G16:G79" si="2">IF(B16&gt;$F$6,0,D16-F16)</f>
        <v>0</v>
      </c>
      <c r="H16" s="281"/>
      <c r="I16" s="413"/>
      <c r="J16" s="274">
        <v>2</v>
      </c>
      <c r="K16" s="428">
        <f>EDATE(K15+1,1)-1</f>
        <v>45351</v>
      </c>
      <c r="L16" s="286">
        <f>IF(J16&gt;$N$6,0,O15)</f>
        <v>3678930.1031788015</v>
      </c>
      <c r="M16" s="286">
        <f t="shared" ref="M16:M79" si="3">IF(K16&gt;$N$7,0,(L16*$N$9)/12)</f>
        <v>19927.538058885173</v>
      </c>
      <c r="N16" s="285">
        <f t="shared" ref="N16:N79" si="4">IF(K16&gt;$N$7,0,-$N$11-M16)</f>
        <v>3346.8430863129106</v>
      </c>
      <c r="O16" s="427">
        <f t="shared" ref="O16:O79" si="5">IF(J16&gt;$N$6,0,L16-N16)</f>
        <v>3675583.2600924885</v>
      </c>
      <c r="Q16" s="413"/>
      <c r="R16" s="274"/>
      <c r="S16" s="428"/>
      <c r="T16" s="286"/>
      <c r="U16" s="286"/>
      <c r="V16" s="285"/>
      <c r="W16" s="427"/>
    </row>
    <row r="17" spans="1:23" x14ac:dyDescent="0.15">
      <c r="A17" s="398"/>
      <c r="B17" s="272">
        <v>3</v>
      </c>
      <c r="C17" s="278">
        <f t="shared" ref="C17:C80" si="6">EOMONTH(C16,1)</f>
        <v>45382</v>
      </c>
      <c r="D17" s="280">
        <f t="shared" ref="D17:D80" si="7">IF(B17&gt;$F$6,0,G16)</f>
        <v>0</v>
      </c>
      <c r="E17" s="280">
        <f t="shared" si="0"/>
        <v>0</v>
      </c>
      <c r="F17" s="280">
        <f t="shared" si="1"/>
        <v>0</v>
      </c>
      <c r="G17" s="404">
        <f t="shared" si="2"/>
        <v>0</v>
      </c>
      <c r="H17" s="281"/>
      <c r="I17" s="413"/>
      <c r="J17" s="274">
        <v>3</v>
      </c>
      <c r="K17" s="428">
        <f t="shared" ref="K17:K80" si="8">EDATE(K16+1,1)-1</f>
        <v>45382</v>
      </c>
      <c r="L17" s="286">
        <f t="shared" ref="L17:L80" si="9">IF(J17&gt;$N$6,0,O16)</f>
        <v>3675583.2600924885</v>
      </c>
      <c r="M17" s="286">
        <f t="shared" si="3"/>
        <v>19909.409325500979</v>
      </c>
      <c r="N17" s="285">
        <f t="shared" si="4"/>
        <v>3364.9718196971044</v>
      </c>
      <c r="O17" s="427">
        <f t="shared" si="5"/>
        <v>3672218.2882727915</v>
      </c>
      <c r="Q17" s="413"/>
      <c r="R17" s="274"/>
      <c r="S17" s="428"/>
      <c r="T17" s="286"/>
      <c r="U17" s="286"/>
      <c r="V17" s="285"/>
      <c r="W17" s="427"/>
    </row>
    <row r="18" spans="1:23" x14ac:dyDescent="0.15">
      <c r="A18" s="398"/>
      <c r="B18" s="272">
        <v>4</v>
      </c>
      <c r="C18" s="278">
        <f t="shared" si="6"/>
        <v>45412</v>
      </c>
      <c r="D18" s="280">
        <f t="shared" si="7"/>
        <v>0</v>
      </c>
      <c r="E18" s="280">
        <f t="shared" si="0"/>
        <v>0</v>
      </c>
      <c r="F18" s="280">
        <f t="shared" si="1"/>
        <v>0</v>
      </c>
      <c r="G18" s="404">
        <f t="shared" si="2"/>
        <v>0</v>
      </c>
      <c r="H18" s="281"/>
      <c r="I18" s="413"/>
      <c r="J18" s="274">
        <v>4</v>
      </c>
      <c r="K18" s="428">
        <f t="shared" si="8"/>
        <v>45412</v>
      </c>
      <c r="L18" s="286">
        <f t="shared" si="9"/>
        <v>3672218.2882727915</v>
      </c>
      <c r="M18" s="286">
        <f t="shared" si="3"/>
        <v>19891.182394810956</v>
      </c>
      <c r="N18" s="285">
        <f t="shared" si="4"/>
        <v>3383.1987503871278</v>
      </c>
      <c r="O18" s="427">
        <f t="shared" si="5"/>
        <v>3668835.0895224046</v>
      </c>
      <c r="Q18" s="413"/>
      <c r="R18" s="274"/>
      <c r="S18" s="428"/>
      <c r="T18" s="286"/>
      <c r="U18" s="286"/>
      <c r="V18" s="285"/>
      <c r="W18" s="427"/>
    </row>
    <row r="19" spans="1:23" x14ac:dyDescent="0.15">
      <c r="A19" s="398"/>
      <c r="B19" s="272">
        <v>5</v>
      </c>
      <c r="C19" s="278">
        <f t="shared" si="6"/>
        <v>45443</v>
      </c>
      <c r="D19" s="280">
        <f t="shared" si="7"/>
        <v>0</v>
      </c>
      <c r="E19" s="280">
        <f t="shared" si="0"/>
        <v>0</v>
      </c>
      <c r="F19" s="280">
        <f t="shared" si="1"/>
        <v>0</v>
      </c>
      <c r="G19" s="404">
        <f t="shared" si="2"/>
        <v>0</v>
      </c>
      <c r="H19" s="281"/>
      <c r="I19" s="413"/>
      <c r="J19" s="274">
        <v>5</v>
      </c>
      <c r="K19" s="428">
        <f t="shared" si="8"/>
        <v>45443</v>
      </c>
      <c r="L19" s="286">
        <f t="shared" si="9"/>
        <v>3668835.0895224046</v>
      </c>
      <c r="M19" s="286">
        <f t="shared" si="3"/>
        <v>19872.856734913024</v>
      </c>
      <c r="N19" s="285">
        <f t="shared" si="4"/>
        <v>3401.5244102850593</v>
      </c>
      <c r="O19" s="427">
        <f t="shared" si="5"/>
        <v>3665433.5651121195</v>
      </c>
      <c r="Q19" s="413"/>
      <c r="R19" s="274"/>
      <c r="S19" s="428"/>
      <c r="T19" s="286"/>
      <c r="U19" s="286"/>
      <c r="V19" s="285"/>
      <c r="W19" s="427"/>
    </row>
    <row r="20" spans="1:23" x14ac:dyDescent="0.15">
      <c r="A20" s="398"/>
      <c r="B20" s="272">
        <v>6</v>
      </c>
      <c r="C20" s="278">
        <f t="shared" si="6"/>
        <v>45473</v>
      </c>
      <c r="D20" s="280">
        <f t="shared" si="7"/>
        <v>0</v>
      </c>
      <c r="E20" s="280">
        <f t="shared" si="0"/>
        <v>0</v>
      </c>
      <c r="F20" s="280">
        <f t="shared" si="1"/>
        <v>0</v>
      </c>
      <c r="G20" s="404">
        <f t="shared" si="2"/>
        <v>0</v>
      </c>
      <c r="H20" s="281"/>
      <c r="I20" s="413"/>
      <c r="J20" s="274">
        <v>6</v>
      </c>
      <c r="K20" s="428">
        <f t="shared" si="8"/>
        <v>45473</v>
      </c>
      <c r="L20" s="286">
        <f t="shared" si="9"/>
        <v>3665433.5651121195</v>
      </c>
      <c r="M20" s="286">
        <f t="shared" si="3"/>
        <v>19854.43181102398</v>
      </c>
      <c r="N20" s="285">
        <f t="shared" si="4"/>
        <v>3419.9493341741036</v>
      </c>
      <c r="O20" s="427">
        <f t="shared" si="5"/>
        <v>3662013.6157779456</v>
      </c>
      <c r="Q20" s="413"/>
      <c r="R20" s="274"/>
      <c r="S20" s="428"/>
      <c r="T20" s="286"/>
      <c r="U20" s="286"/>
      <c r="V20" s="285"/>
      <c r="W20" s="427"/>
    </row>
    <row r="21" spans="1:23" x14ac:dyDescent="0.15">
      <c r="A21" s="398"/>
      <c r="B21" s="272">
        <v>7</v>
      </c>
      <c r="C21" s="278">
        <f t="shared" si="6"/>
        <v>45504</v>
      </c>
      <c r="D21" s="280">
        <f t="shared" si="7"/>
        <v>0</v>
      </c>
      <c r="E21" s="280">
        <f t="shared" si="0"/>
        <v>0</v>
      </c>
      <c r="F21" s="280">
        <f t="shared" si="1"/>
        <v>0</v>
      </c>
      <c r="G21" s="404">
        <f t="shared" si="2"/>
        <v>0</v>
      </c>
      <c r="H21" s="281"/>
      <c r="I21" s="413"/>
      <c r="J21" s="274">
        <v>7</v>
      </c>
      <c r="K21" s="428">
        <f t="shared" si="8"/>
        <v>45504</v>
      </c>
      <c r="L21" s="286">
        <f t="shared" si="9"/>
        <v>3662013.6157779456</v>
      </c>
      <c r="M21" s="286">
        <f t="shared" si="3"/>
        <v>19835.907085463874</v>
      </c>
      <c r="N21" s="285">
        <f t="shared" si="4"/>
        <v>3438.4740597342097</v>
      </c>
      <c r="O21" s="427">
        <f t="shared" si="5"/>
        <v>3658575.1417182116</v>
      </c>
      <c r="Q21" s="413"/>
      <c r="R21" s="274"/>
      <c r="S21" s="428"/>
      <c r="T21" s="286"/>
      <c r="U21" s="286"/>
      <c r="V21" s="285"/>
      <c r="W21" s="427"/>
    </row>
    <row r="22" spans="1:23" x14ac:dyDescent="0.15">
      <c r="A22" s="398"/>
      <c r="B22" s="272">
        <v>8</v>
      </c>
      <c r="C22" s="278">
        <f t="shared" si="6"/>
        <v>45535</v>
      </c>
      <c r="D22" s="280">
        <f t="shared" si="7"/>
        <v>0</v>
      </c>
      <c r="E22" s="280">
        <f t="shared" si="0"/>
        <v>0</v>
      </c>
      <c r="F22" s="280">
        <f t="shared" si="1"/>
        <v>0</v>
      </c>
      <c r="G22" s="404">
        <f t="shared" si="2"/>
        <v>0</v>
      </c>
      <c r="H22" s="281"/>
      <c r="I22" s="413"/>
      <c r="J22" s="274">
        <v>8</v>
      </c>
      <c r="K22" s="428">
        <f t="shared" si="8"/>
        <v>45535</v>
      </c>
      <c r="L22" s="286">
        <f t="shared" si="9"/>
        <v>3658575.1417182116</v>
      </c>
      <c r="M22" s="286">
        <f t="shared" si="3"/>
        <v>19817.282017640315</v>
      </c>
      <c r="N22" s="285">
        <f t="shared" si="4"/>
        <v>3457.099127557769</v>
      </c>
      <c r="O22" s="427">
        <f t="shared" si="5"/>
        <v>3655118.042590654</v>
      </c>
      <c r="Q22" s="413"/>
      <c r="R22" s="274"/>
      <c r="S22" s="428"/>
      <c r="T22" s="286"/>
      <c r="U22" s="286"/>
      <c r="V22" s="285"/>
      <c r="W22" s="427"/>
    </row>
    <row r="23" spans="1:23" x14ac:dyDescent="0.15">
      <c r="A23" s="398"/>
      <c r="B23" s="272">
        <v>9</v>
      </c>
      <c r="C23" s="278">
        <f t="shared" si="6"/>
        <v>45565</v>
      </c>
      <c r="D23" s="280">
        <f t="shared" si="7"/>
        <v>0</v>
      </c>
      <c r="E23" s="280">
        <f t="shared" si="0"/>
        <v>0</v>
      </c>
      <c r="F23" s="280">
        <f t="shared" si="1"/>
        <v>0</v>
      </c>
      <c r="G23" s="404">
        <f t="shared" si="2"/>
        <v>0</v>
      </c>
      <c r="H23" s="281"/>
      <c r="I23" s="413"/>
      <c r="J23" s="274">
        <v>9</v>
      </c>
      <c r="K23" s="428">
        <f t="shared" si="8"/>
        <v>45565</v>
      </c>
      <c r="L23" s="286">
        <f t="shared" si="9"/>
        <v>3655118.042590654</v>
      </c>
      <c r="M23" s="286">
        <f t="shared" si="3"/>
        <v>19798.556064032709</v>
      </c>
      <c r="N23" s="285">
        <f t="shared" si="4"/>
        <v>3475.8250811653743</v>
      </c>
      <c r="O23" s="427">
        <f t="shared" si="5"/>
        <v>3651642.2175094886</v>
      </c>
      <c r="Q23" s="413"/>
      <c r="R23" s="274"/>
      <c r="S23" s="428"/>
      <c r="T23" s="286"/>
      <c r="U23" s="286"/>
      <c r="V23" s="285"/>
      <c r="W23" s="427"/>
    </row>
    <row r="24" spans="1:23" x14ac:dyDescent="0.15">
      <c r="A24" s="398"/>
      <c r="B24" s="272">
        <v>10</v>
      </c>
      <c r="C24" s="278">
        <f t="shared" si="6"/>
        <v>45596</v>
      </c>
      <c r="D24" s="280">
        <f t="shared" si="7"/>
        <v>0</v>
      </c>
      <c r="E24" s="280">
        <f t="shared" si="0"/>
        <v>0</v>
      </c>
      <c r="F24" s="280">
        <f t="shared" si="1"/>
        <v>0</v>
      </c>
      <c r="G24" s="404">
        <f t="shared" si="2"/>
        <v>0</v>
      </c>
      <c r="H24" s="281"/>
      <c r="I24" s="413"/>
      <c r="J24" s="274">
        <v>10</v>
      </c>
      <c r="K24" s="428">
        <f t="shared" si="8"/>
        <v>45596</v>
      </c>
      <c r="L24" s="286">
        <f t="shared" si="9"/>
        <v>3651642.2175094886</v>
      </c>
      <c r="M24" s="286">
        <f t="shared" si="3"/>
        <v>19779.728678176398</v>
      </c>
      <c r="N24" s="285">
        <f t="shared" si="4"/>
        <v>3494.6524670216859</v>
      </c>
      <c r="O24" s="427">
        <f t="shared" si="5"/>
        <v>3648147.5650424669</v>
      </c>
      <c r="Q24" s="413"/>
      <c r="R24" s="274"/>
      <c r="S24" s="428"/>
      <c r="T24" s="286"/>
      <c r="U24" s="286"/>
      <c r="V24" s="285"/>
      <c r="W24" s="427"/>
    </row>
    <row r="25" spans="1:23" x14ac:dyDescent="0.15">
      <c r="A25" s="398"/>
      <c r="B25" s="272">
        <v>11</v>
      </c>
      <c r="C25" s="278">
        <f t="shared" si="6"/>
        <v>45626</v>
      </c>
      <c r="D25" s="280">
        <f t="shared" si="7"/>
        <v>0</v>
      </c>
      <c r="E25" s="280">
        <f t="shared" si="0"/>
        <v>0</v>
      </c>
      <c r="F25" s="280">
        <f t="shared" si="1"/>
        <v>0</v>
      </c>
      <c r="G25" s="404">
        <f t="shared" si="2"/>
        <v>0</v>
      </c>
      <c r="H25" s="281"/>
      <c r="I25" s="413"/>
      <c r="J25" s="274">
        <v>11</v>
      </c>
      <c r="K25" s="428">
        <f t="shared" si="8"/>
        <v>45626</v>
      </c>
      <c r="L25" s="286">
        <f t="shared" si="9"/>
        <v>3648147.5650424669</v>
      </c>
      <c r="M25" s="286">
        <f t="shared" si="3"/>
        <v>19760.799310646697</v>
      </c>
      <c r="N25" s="285">
        <f t="shared" si="4"/>
        <v>3513.5818345513871</v>
      </c>
      <c r="O25" s="427">
        <f t="shared" si="5"/>
        <v>3644633.9832079154</v>
      </c>
      <c r="Q25" s="413"/>
      <c r="R25" s="274"/>
      <c r="S25" s="428"/>
      <c r="T25" s="286"/>
      <c r="U25" s="286"/>
      <c r="V25" s="285"/>
      <c r="W25" s="427"/>
    </row>
    <row r="26" spans="1:23" x14ac:dyDescent="0.15">
      <c r="A26" s="398"/>
      <c r="B26" s="272">
        <v>12</v>
      </c>
      <c r="C26" s="278">
        <f t="shared" si="6"/>
        <v>45657</v>
      </c>
      <c r="D26" s="280">
        <f t="shared" si="7"/>
        <v>0</v>
      </c>
      <c r="E26" s="280">
        <f t="shared" si="0"/>
        <v>0</v>
      </c>
      <c r="F26" s="280">
        <f t="shared" si="1"/>
        <v>0</v>
      </c>
      <c r="G26" s="404">
        <f t="shared" si="2"/>
        <v>0</v>
      </c>
      <c r="H26" s="281"/>
      <c r="I26" s="413"/>
      <c r="J26" s="274">
        <v>12</v>
      </c>
      <c r="K26" s="428">
        <f t="shared" si="8"/>
        <v>45657</v>
      </c>
      <c r="L26" s="286">
        <f t="shared" si="9"/>
        <v>3644633.9832079154</v>
      </c>
      <c r="M26" s="286">
        <f t="shared" si="3"/>
        <v>19741.767409042874</v>
      </c>
      <c r="N26" s="285">
        <f t="shared" si="4"/>
        <v>3532.6137361552101</v>
      </c>
      <c r="O26" s="427">
        <f t="shared" si="5"/>
        <v>3641101.3694717605</v>
      </c>
      <c r="Q26" s="413"/>
      <c r="R26" s="274"/>
      <c r="S26" s="428"/>
      <c r="T26" s="286"/>
      <c r="U26" s="286"/>
      <c r="V26" s="285"/>
      <c r="W26" s="427"/>
    </row>
    <row r="27" spans="1:23" x14ac:dyDescent="0.15">
      <c r="A27" s="398"/>
      <c r="B27" s="272">
        <v>13</v>
      </c>
      <c r="C27" s="278">
        <f t="shared" si="6"/>
        <v>45688</v>
      </c>
      <c r="D27" s="280">
        <f t="shared" si="7"/>
        <v>0</v>
      </c>
      <c r="E27" s="280">
        <f t="shared" si="0"/>
        <v>0</v>
      </c>
      <c r="F27" s="280">
        <f t="shared" si="1"/>
        <v>0</v>
      </c>
      <c r="G27" s="404">
        <f t="shared" si="2"/>
        <v>0</v>
      </c>
      <c r="H27" s="281"/>
      <c r="I27" s="413"/>
      <c r="J27" s="274">
        <v>13</v>
      </c>
      <c r="K27" s="428">
        <f t="shared" si="8"/>
        <v>45688</v>
      </c>
      <c r="L27" s="286">
        <f t="shared" si="9"/>
        <v>3641101.3694717605</v>
      </c>
      <c r="M27" s="286">
        <f t="shared" si="3"/>
        <v>19722.632417972036</v>
      </c>
      <c r="N27" s="285">
        <f t="shared" si="4"/>
        <v>3551.7487272260478</v>
      </c>
      <c r="O27" s="427">
        <f t="shared" si="5"/>
        <v>3637549.6207445343</v>
      </c>
      <c r="Q27" s="413"/>
      <c r="R27" s="274"/>
      <c r="S27" s="428"/>
      <c r="T27" s="286"/>
      <c r="U27" s="286"/>
      <c r="V27" s="285"/>
      <c r="W27" s="427"/>
    </row>
    <row r="28" spans="1:23" x14ac:dyDescent="0.15">
      <c r="A28" s="398"/>
      <c r="B28" s="272">
        <v>14</v>
      </c>
      <c r="C28" s="278">
        <f t="shared" si="6"/>
        <v>45716</v>
      </c>
      <c r="D28" s="280">
        <f t="shared" si="7"/>
        <v>0</v>
      </c>
      <c r="E28" s="280">
        <f t="shared" si="0"/>
        <v>0</v>
      </c>
      <c r="F28" s="280">
        <f t="shared" si="1"/>
        <v>0</v>
      </c>
      <c r="G28" s="404">
        <f t="shared" si="2"/>
        <v>0</v>
      </c>
      <c r="H28" s="281"/>
      <c r="I28" s="413"/>
      <c r="J28" s="274">
        <v>14</v>
      </c>
      <c r="K28" s="428">
        <f t="shared" si="8"/>
        <v>45716</v>
      </c>
      <c r="L28" s="286">
        <f t="shared" si="9"/>
        <v>3637549.6207445343</v>
      </c>
      <c r="M28" s="286">
        <f t="shared" si="3"/>
        <v>19703.393779032896</v>
      </c>
      <c r="N28" s="285">
        <f t="shared" si="4"/>
        <v>3570.9873661651873</v>
      </c>
      <c r="O28" s="427">
        <f t="shared" si="5"/>
        <v>3633978.6333783693</v>
      </c>
      <c r="Q28" s="413"/>
      <c r="R28" s="274"/>
      <c r="S28" s="428"/>
      <c r="T28" s="286"/>
      <c r="U28" s="286"/>
      <c r="V28" s="285"/>
      <c r="W28" s="427"/>
    </row>
    <row r="29" spans="1:23" x14ac:dyDescent="0.15">
      <c r="A29" s="398"/>
      <c r="B29" s="272">
        <v>15</v>
      </c>
      <c r="C29" s="278">
        <f t="shared" si="6"/>
        <v>45747</v>
      </c>
      <c r="D29" s="280">
        <f t="shared" si="7"/>
        <v>0</v>
      </c>
      <c r="E29" s="280">
        <f t="shared" si="0"/>
        <v>0</v>
      </c>
      <c r="F29" s="280">
        <f t="shared" si="1"/>
        <v>0</v>
      </c>
      <c r="G29" s="404">
        <f t="shared" si="2"/>
        <v>0</v>
      </c>
      <c r="H29" s="281"/>
      <c r="I29" s="413"/>
      <c r="J29" s="274">
        <v>15</v>
      </c>
      <c r="K29" s="428">
        <f t="shared" si="8"/>
        <v>45747</v>
      </c>
      <c r="L29" s="286">
        <f t="shared" si="9"/>
        <v>3633978.6333783693</v>
      </c>
      <c r="M29" s="286">
        <f t="shared" si="3"/>
        <v>19684.050930799502</v>
      </c>
      <c r="N29" s="285">
        <f t="shared" si="4"/>
        <v>3590.330214398582</v>
      </c>
      <c r="O29" s="427">
        <f t="shared" si="5"/>
        <v>3630388.3031639708</v>
      </c>
      <c r="Q29" s="413"/>
      <c r="R29" s="274"/>
      <c r="S29" s="428"/>
      <c r="T29" s="286"/>
      <c r="U29" s="286"/>
      <c r="V29" s="285"/>
      <c r="W29" s="427"/>
    </row>
    <row r="30" spans="1:23" x14ac:dyDescent="0.15">
      <c r="A30" s="398"/>
      <c r="B30" s="272">
        <v>16</v>
      </c>
      <c r="C30" s="278">
        <f t="shared" si="6"/>
        <v>45777</v>
      </c>
      <c r="D30" s="280">
        <f t="shared" si="7"/>
        <v>0</v>
      </c>
      <c r="E30" s="280">
        <f t="shared" si="0"/>
        <v>0</v>
      </c>
      <c r="F30" s="280">
        <f t="shared" si="1"/>
        <v>0</v>
      </c>
      <c r="G30" s="404">
        <f t="shared" si="2"/>
        <v>0</v>
      </c>
      <c r="H30" s="281"/>
      <c r="I30" s="413"/>
      <c r="J30" s="274">
        <v>16</v>
      </c>
      <c r="K30" s="428">
        <f t="shared" si="8"/>
        <v>45777</v>
      </c>
      <c r="L30" s="286">
        <f t="shared" si="9"/>
        <v>3630388.3031639708</v>
      </c>
      <c r="M30" s="286">
        <f t="shared" si="3"/>
        <v>19664.603308804843</v>
      </c>
      <c r="N30" s="285">
        <f t="shared" si="4"/>
        <v>3609.7778363932412</v>
      </c>
      <c r="O30" s="427">
        <f t="shared" si="5"/>
        <v>3626778.5253275777</v>
      </c>
      <c r="Q30" s="413"/>
      <c r="R30" s="274"/>
      <c r="S30" s="428"/>
      <c r="T30" s="286"/>
      <c r="U30" s="286"/>
      <c r="V30" s="285"/>
      <c r="W30" s="427"/>
    </row>
    <row r="31" spans="1:23" x14ac:dyDescent="0.15">
      <c r="A31" s="398"/>
      <c r="B31" s="272">
        <v>17</v>
      </c>
      <c r="C31" s="278">
        <f t="shared" si="6"/>
        <v>45808</v>
      </c>
      <c r="D31" s="280">
        <f t="shared" si="7"/>
        <v>0</v>
      </c>
      <c r="E31" s="280">
        <f t="shared" si="0"/>
        <v>0</v>
      </c>
      <c r="F31" s="280">
        <f t="shared" si="1"/>
        <v>0</v>
      </c>
      <c r="G31" s="404">
        <f t="shared" si="2"/>
        <v>0</v>
      </c>
      <c r="H31" s="281"/>
      <c r="I31" s="413"/>
      <c r="J31" s="274">
        <v>17</v>
      </c>
      <c r="K31" s="428">
        <f t="shared" si="8"/>
        <v>45808</v>
      </c>
      <c r="L31" s="286">
        <f t="shared" si="9"/>
        <v>3626778.5253275777</v>
      </c>
      <c r="M31" s="286">
        <f t="shared" si="3"/>
        <v>19645.050345524378</v>
      </c>
      <c r="N31" s="285">
        <f t="shared" si="4"/>
        <v>3629.3307996737058</v>
      </c>
      <c r="O31" s="427">
        <f t="shared" si="5"/>
        <v>3623149.194527904</v>
      </c>
      <c r="Q31" s="413"/>
      <c r="R31" s="274"/>
      <c r="S31" s="428"/>
      <c r="T31" s="286"/>
      <c r="U31" s="286"/>
      <c r="V31" s="285"/>
      <c r="W31" s="427"/>
    </row>
    <row r="32" spans="1:23" x14ac:dyDescent="0.15">
      <c r="A32" s="398"/>
      <c r="B32" s="272">
        <v>18</v>
      </c>
      <c r="C32" s="278">
        <f t="shared" si="6"/>
        <v>45838</v>
      </c>
      <c r="D32" s="280">
        <f t="shared" si="7"/>
        <v>0</v>
      </c>
      <c r="E32" s="280">
        <f t="shared" si="0"/>
        <v>0</v>
      </c>
      <c r="F32" s="280">
        <f t="shared" si="1"/>
        <v>0</v>
      </c>
      <c r="G32" s="404">
        <f t="shared" si="2"/>
        <v>0</v>
      </c>
      <c r="H32" s="281"/>
      <c r="I32" s="413"/>
      <c r="J32" s="274">
        <v>18</v>
      </c>
      <c r="K32" s="428">
        <f t="shared" si="8"/>
        <v>45838</v>
      </c>
      <c r="L32" s="286">
        <f t="shared" si="9"/>
        <v>3623149.194527904</v>
      </c>
      <c r="M32" s="286">
        <f t="shared" si="3"/>
        <v>19625.391470359482</v>
      </c>
      <c r="N32" s="285">
        <f t="shared" si="4"/>
        <v>3648.9896748386018</v>
      </c>
      <c r="O32" s="427">
        <f t="shared" si="5"/>
        <v>3619500.2048530653</v>
      </c>
      <c r="Q32" s="413"/>
      <c r="R32" s="274"/>
      <c r="S32" s="428"/>
      <c r="T32" s="286"/>
      <c r="U32" s="286"/>
      <c r="V32" s="285"/>
      <c r="W32" s="427"/>
    </row>
    <row r="33" spans="1:23" x14ac:dyDescent="0.15">
      <c r="A33" s="398"/>
      <c r="B33" s="272">
        <v>19</v>
      </c>
      <c r="C33" s="278">
        <f t="shared" si="6"/>
        <v>45869</v>
      </c>
      <c r="D33" s="280">
        <f t="shared" si="7"/>
        <v>0</v>
      </c>
      <c r="E33" s="280">
        <f t="shared" si="0"/>
        <v>0</v>
      </c>
      <c r="F33" s="280">
        <f t="shared" si="1"/>
        <v>0</v>
      </c>
      <c r="G33" s="404">
        <f t="shared" si="2"/>
        <v>0</v>
      </c>
      <c r="H33" s="281"/>
      <c r="I33" s="413"/>
      <c r="J33" s="274">
        <v>19</v>
      </c>
      <c r="K33" s="428">
        <f t="shared" si="8"/>
        <v>45869</v>
      </c>
      <c r="L33" s="286">
        <f t="shared" si="9"/>
        <v>3619500.2048530653</v>
      </c>
      <c r="M33" s="286">
        <f t="shared" si="3"/>
        <v>19605.626109620771</v>
      </c>
      <c r="N33" s="285">
        <f t="shared" si="4"/>
        <v>3668.7550355773128</v>
      </c>
      <c r="O33" s="427">
        <f t="shared" si="5"/>
        <v>3615831.449817488</v>
      </c>
      <c r="Q33" s="413"/>
      <c r="R33" s="274"/>
      <c r="S33" s="428"/>
      <c r="T33" s="286"/>
      <c r="U33" s="286"/>
      <c r="V33" s="285"/>
      <c r="W33" s="427"/>
    </row>
    <row r="34" spans="1:23" x14ac:dyDescent="0.15">
      <c r="A34" s="398"/>
      <c r="B34" s="272">
        <v>20</v>
      </c>
      <c r="C34" s="278">
        <f t="shared" si="6"/>
        <v>45900</v>
      </c>
      <c r="D34" s="280">
        <f t="shared" si="7"/>
        <v>0</v>
      </c>
      <c r="E34" s="280">
        <f t="shared" si="0"/>
        <v>0</v>
      </c>
      <c r="F34" s="280">
        <f t="shared" si="1"/>
        <v>0</v>
      </c>
      <c r="G34" s="404">
        <f t="shared" si="2"/>
        <v>0</v>
      </c>
      <c r="H34" s="281"/>
      <c r="I34" s="413"/>
      <c r="J34" s="274">
        <v>20</v>
      </c>
      <c r="K34" s="428">
        <f t="shared" si="8"/>
        <v>45900</v>
      </c>
      <c r="L34" s="286">
        <f t="shared" si="9"/>
        <v>3615831.449817488</v>
      </c>
      <c r="M34" s="286">
        <f t="shared" si="3"/>
        <v>19585.753686511394</v>
      </c>
      <c r="N34" s="285">
        <f t="shared" si="4"/>
        <v>3688.6274586866894</v>
      </c>
      <c r="O34" s="427">
        <f t="shared" si="5"/>
        <v>3612142.8223588015</v>
      </c>
      <c r="Q34" s="413"/>
      <c r="R34" s="274"/>
      <c r="S34" s="428"/>
      <c r="T34" s="286"/>
      <c r="U34" s="286"/>
      <c r="V34" s="285"/>
      <c r="W34" s="427"/>
    </row>
    <row r="35" spans="1:23" x14ac:dyDescent="0.15">
      <c r="A35" s="398"/>
      <c r="B35" s="272">
        <v>21</v>
      </c>
      <c r="C35" s="278">
        <f t="shared" si="6"/>
        <v>45930</v>
      </c>
      <c r="D35" s="280">
        <f t="shared" si="7"/>
        <v>0</v>
      </c>
      <c r="E35" s="280">
        <f t="shared" si="0"/>
        <v>0</v>
      </c>
      <c r="F35" s="280">
        <f t="shared" si="1"/>
        <v>0</v>
      </c>
      <c r="G35" s="404">
        <f t="shared" si="2"/>
        <v>0</v>
      </c>
      <c r="H35" s="281"/>
      <c r="I35" s="413"/>
      <c r="J35" s="274">
        <v>21</v>
      </c>
      <c r="K35" s="428">
        <f t="shared" si="8"/>
        <v>45930</v>
      </c>
      <c r="L35" s="286">
        <f t="shared" si="9"/>
        <v>3612142.8223588015</v>
      </c>
      <c r="M35" s="286">
        <f t="shared" si="3"/>
        <v>19565.773621110176</v>
      </c>
      <c r="N35" s="285">
        <f t="shared" si="4"/>
        <v>3708.6075240879072</v>
      </c>
      <c r="O35" s="427">
        <f t="shared" si="5"/>
        <v>3608434.2148347134</v>
      </c>
      <c r="Q35" s="413"/>
      <c r="R35" s="274"/>
      <c r="S35" s="428"/>
      <c r="T35" s="286"/>
      <c r="U35" s="286"/>
      <c r="V35" s="285"/>
      <c r="W35" s="427"/>
    </row>
    <row r="36" spans="1:23" x14ac:dyDescent="0.15">
      <c r="A36" s="398"/>
      <c r="B36" s="272">
        <v>22</v>
      </c>
      <c r="C36" s="278">
        <f t="shared" si="6"/>
        <v>45961</v>
      </c>
      <c r="D36" s="280">
        <f t="shared" si="7"/>
        <v>0</v>
      </c>
      <c r="E36" s="280">
        <f t="shared" si="0"/>
        <v>0</v>
      </c>
      <c r="F36" s="280">
        <f t="shared" si="1"/>
        <v>0</v>
      </c>
      <c r="G36" s="404">
        <f t="shared" si="2"/>
        <v>0</v>
      </c>
      <c r="H36" s="281"/>
      <c r="I36" s="413"/>
      <c r="J36" s="274">
        <v>22</v>
      </c>
      <c r="K36" s="428">
        <f t="shared" si="8"/>
        <v>45961</v>
      </c>
      <c r="L36" s="286">
        <f t="shared" si="9"/>
        <v>3608434.2148347134</v>
      </c>
      <c r="M36" s="286">
        <f t="shared" si="3"/>
        <v>19545.6853303547</v>
      </c>
      <c r="N36" s="285">
        <f t="shared" si="4"/>
        <v>3728.6958148433841</v>
      </c>
      <c r="O36" s="427">
        <f t="shared" si="5"/>
        <v>3604705.5190198701</v>
      </c>
      <c r="Q36" s="413"/>
      <c r="R36" s="274"/>
      <c r="S36" s="428"/>
      <c r="T36" s="286"/>
      <c r="U36" s="286"/>
      <c r="V36" s="285"/>
      <c r="W36" s="427"/>
    </row>
    <row r="37" spans="1:23" x14ac:dyDescent="0.15">
      <c r="A37" s="398"/>
      <c r="B37" s="272">
        <v>23</v>
      </c>
      <c r="C37" s="278">
        <f t="shared" si="6"/>
        <v>45991</v>
      </c>
      <c r="D37" s="280">
        <f t="shared" si="7"/>
        <v>0</v>
      </c>
      <c r="E37" s="280">
        <f t="shared" si="0"/>
        <v>0</v>
      </c>
      <c r="F37" s="280">
        <f t="shared" si="1"/>
        <v>0</v>
      </c>
      <c r="G37" s="404">
        <f t="shared" si="2"/>
        <v>0</v>
      </c>
      <c r="H37" s="281"/>
      <c r="I37" s="413"/>
      <c r="J37" s="274">
        <v>23</v>
      </c>
      <c r="K37" s="428">
        <f t="shared" si="8"/>
        <v>45991</v>
      </c>
      <c r="L37" s="286">
        <f t="shared" si="9"/>
        <v>3604705.5190198701</v>
      </c>
      <c r="M37" s="286">
        <f t="shared" si="3"/>
        <v>19525.488228024296</v>
      </c>
      <c r="N37" s="285">
        <f t="shared" si="4"/>
        <v>3748.8929171737873</v>
      </c>
      <c r="O37" s="427">
        <f t="shared" si="5"/>
        <v>3600956.6261026962</v>
      </c>
      <c r="Q37" s="413"/>
      <c r="R37" s="274"/>
      <c r="S37" s="428"/>
      <c r="T37" s="286"/>
      <c r="U37" s="286"/>
      <c r="V37" s="285"/>
      <c r="W37" s="427"/>
    </row>
    <row r="38" spans="1:23" x14ac:dyDescent="0.15">
      <c r="A38" s="398"/>
      <c r="B38" s="272">
        <v>24</v>
      </c>
      <c r="C38" s="278">
        <f t="shared" si="6"/>
        <v>46022</v>
      </c>
      <c r="D38" s="280">
        <f t="shared" si="7"/>
        <v>0</v>
      </c>
      <c r="E38" s="280">
        <f t="shared" si="0"/>
        <v>0</v>
      </c>
      <c r="F38" s="280">
        <f t="shared" si="1"/>
        <v>0</v>
      </c>
      <c r="G38" s="404">
        <f t="shared" si="2"/>
        <v>0</v>
      </c>
      <c r="H38" s="281"/>
      <c r="I38" s="413"/>
      <c r="J38" s="274">
        <v>24</v>
      </c>
      <c r="K38" s="428">
        <f t="shared" si="8"/>
        <v>46022</v>
      </c>
      <c r="L38" s="286">
        <f t="shared" si="9"/>
        <v>3600956.6261026962</v>
      </c>
      <c r="M38" s="286">
        <f t="shared" si="3"/>
        <v>19505.181724722937</v>
      </c>
      <c r="N38" s="285">
        <f t="shared" si="4"/>
        <v>3769.1994204751463</v>
      </c>
      <c r="O38" s="427">
        <f t="shared" si="5"/>
        <v>3597187.4266822212</v>
      </c>
      <c r="Q38" s="413"/>
      <c r="R38" s="274"/>
      <c r="S38" s="428"/>
      <c r="T38" s="286"/>
      <c r="U38" s="286"/>
      <c r="V38" s="285"/>
      <c r="W38" s="427"/>
    </row>
    <row r="39" spans="1:23" x14ac:dyDescent="0.15">
      <c r="A39" s="398"/>
      <c r="B39" s="272">
        <v>25</v>
      </c>
      <c r="C39" s="278">
        <f t="shared" si="6"/>
        <v>46053</v>
      </c>
      <c r="D39" s="280">
        <f t="shared" si="7"/>
        <v>0</v>
      </c>
      <c r="E39" s="280">
        <f t="shared" si="0"/>
        <v>0</v>
      </c>
      <c r="F39" s="280">
        <f t="shared" si="1"/>
        <v>0</v>
      </c>
      <c r="G39" s="404">
        <f t="shared" si="2"/>
        <v>0</v>
      </c>
      <c r="H39" s="281"/>
      <c r="I39" s="413"/>
      <c r="J39" s="274">
        <v>25</v>
      </c>
      <c r="K39" s="428">
        <f t="shared" si="8"/>
        <v>46053</v>
      </c>
      <c r="L39" s="286">
        <f t="shared" si="9"/>
        <v>3597187.4266822212</v>
      </c>
      <c r="M39" s="286">
        <f t="shared" si="3"/>
        <v>19484.765227862033</v>
      </c>
      <c r="N39" s="285">
        <f t="shared" si="4"/>
        <v>3789.6159173360502</v>
      </c>
      <c r="O39" s="427">
        <f t="shared" si="5"/>
        <v>3593397.810764885</v>
      </c>
      <c r="Q39" s="413"/>
      <c r="R39" s="274"/>
      <c r="S39" s="428"/>
      <c r="T39" s="286"/>
      <c r="U39" s="286"/>
      <c r="V39" s="285"/>
      <c r="W39" s="427"/>
    </row>
    <row r="40" spans="1:23" x14ac:dyDescent="0.15">
      <c r="A40" s="398"/>
      <c r="B40" s="272">
        <v>26</v>
      </c>
      <c r="C40" s="278">
        <f t="shared" si="6"/>
        <v>46081</v>
      </c>
      <c r="D40" s="280">
        <f t="shared" si="7"/>
        <v>0</v>
      </c>
      <c r="E40" s="280">
        <f t="shared" si="0"/>
        <v>0</v>
      </c>
      <c r="F40" s="280">
        <f t="shared" si="1"/>
        <v>0</v>
      </c>
      <c r="G40" s="404">
        <f t="shared" si="2"/>
        <v>0</v>
      </c>
      <c r="H40" s="281"/>
      <c r="I40" s="413"/>
      <c r="J40" s="274">
        <v>26</v>
      </c>
      <c r="K40" s="428">
        <f t="shared" si="8"/>
        <v>46081</v>
      </c>
      <c r="L40" s="286">
        <f t="shared" si="9"/>
        <v>3593397.810764885</v>
      </c>
      <c r="M40" s="286">
        <f t="shared" si="3"/>
        <v>19464.238141643127</v>
      </c>
      <c r="N40" s="285">
        <f t="shared" si="4"/>
        <v>3810.1430035549565</v>
      </c>
      <c r="O40" s="427">
        <f t="shared" si="5"/>
        <v>3589587.66776133</v>
      </c>
      <c r="Q40" s="413"/>
      <c r="R40" s="274"/>
      <c r="S40" s="428"/>
      <c r="T40" s="286"/>
      <c r="U40" s="286"/>
      <c r="V40" s="285"/>
      <c r="W40" s="427"/>
    </row>
    <row r="41" spans="1:23" x14ac:dyDescent="0.15">
      <c r="A41" s="398"/>
      <c r="B41" s="272">
        <v>27</v>
      </c>
      <c r="C41" s="278">
        <f t="shared" si="6"/>
        <v>46112</v>
      </c>
      <c r="D41" s="280">
        <f t="shared" si="7"/>
        <v>0</v>
      </c>
      <c r="E41" s="280">
        <f t="shared" si="0"/>
        <v>0</v>
      </c>
      <c r="F41" s="280">
        <f t="shared" si="1"/>
        <v>0</v>
      </c>
      <c r="G41" s="404">
        <f t="shared" si="2"/>
        <v>0</v>
      </c>
      <c r="H41" s="281"/>
      <c r="I41" s="413"/>
      <c r="J41" s="274">
        <v>27</v>
      </c>
      <c r="K41" s="428">
        <f t="shared" si="8"/>
        <v>46112</v>
      </c>
      <c r="L41" s="286">
        <f t="shared" si="9"/>
        <v>3589587.66776133</v>
      </c>
      <c r="M41" s="286">
        <f t="shared" si="3"/>
        <v>19443.599867040539</v>
      </c>
      <c r="N41" s="285">
        <f t="shared" si="4"/>
        <v>3830.7812781575449</v>
      </c>
      <c r="O41" s="427">
        <f t="shared" si="5"/>
        <v>3585756.8864831724</v>
      </c>
      <c r="Q41" s="413"/>
      <c r="R41" s="274"/>
      <c r="S41" s="428"/>
      <c r="T41" s="286"/>
      <c r="U41" s="286"/>
      <c r="V41" s="285"/>
      <c r="W41" s="427"/>
    </row>
    <row r="42" spans="1:23" x14ac:dyDescent="0.15">
      <c r="A42" s="398"/>
      <c r="B42" s="272">
        <v>28</v>
      </c>
      <c r="C42" s="278">
        <f t="shared" si="6"/>
        <v>46142</v>
      </c>
      <c r="D42" s="280">
        <f t="shared" si="7"/>
        <v>0</v>
      </c>
      <c r="E42" s="280">
        <f t="shared" si="0"/>
        <v>0</v>
      </c>
      <c r="F42" s="280">
        <f t="shared" si="1"/>
        <v>0</v>
      </c>
      <c r="G42" s="404">
        <f t="shared" si="2"/>
        <v>0</v>
      </c>
      <c r="H42" s="281"/>
      <c r="I42" s="413"/>
      <c r="J42" s="274">
        <v>28</v>
      </c>
      <c r="K42" s="428">
        <f t="shared" si="8"/>
        <v>46142</v>
      </c>
      <c r="L42" s="286">
        <f t="shared" si="9"/>
        <v>3585756.8864831724</v>
      </c>
      <c r="M42" s="286">
        <f t="shared" si="3"/>
        <v>19422.84980178385</v>
      </c>
      <c r="N42" s="285">
        <f t="shared" si="4"/>
        <v>3851.5313434142336</v>
      </c>
      <c r="O42" s="427">
        <f t="shared" si="5"/>
        <v>3581905.355139758</v>
      </c>
      <c r="Q42" s="413"/>
      <c r="R42" s="274"/>
      <c r="S42" s="428"/>
      <c r="T42" s="286"/>
      <c r="U42" s="286"/>
      <c r="V42" s="285"/>
      <c r="W42" s="427"/>
    </row>
    <row r="43" spans="1:23" x14ac:dyDescent="0.15">
      <c r="A43" s="398"/>
      <c r="B43" s="272">
        <v>29</v>
      </c>
      <c r="C43" s="278">
        <f t="shared" si="6"/>
        <v>46173</v>
      </c>
      <c r="D43" s="280">
        <f t="shared" si="7"/>
        <v>0</v>
      </c>
      <c r="E43" s="280">
        <f t="shared" si="0"/>
        <v>0</v>
      </c>
      <c r="F43" s="280">
        <f t="shared" si="1"/>
        <v>0</v>
      </c>
      <c r="G43" s="404">
        <f t="shared" si="2"/>
        <v>0</v>
      </c>
      <c r="H43" s="281"/>
      <c r="I43" s="413"/>
      <c r="J43" s="274">
        <v>29</v>
      </c>
      <c r="K43" s="428">
        <f t="shared" si="8"/>
        <v>46173</v>
      </c>
      <c r="L43" s="286">
        <f t="shared" si="9"/>
        <v>3581905.355139758</v>
      </c>
      <c r="M43" s="286">
        <f t="shared" si="3"/>
        <v>19401.987340340358</v>
      </c>
      <c r="N43" s="285">
        <f t="shared" si="4"/>
        <v>3872.3938048577256</v>
      </c>
      <c r="O43" s="427">
        <f t="shared" si="5"/>
        <v>3578032.9613349005</v>
      </c>
      <c r="Q43" s="413"/>
      <c r="R43" s="274"/>
      <c r="S43" s="428"/>
      <c r="T43" s="286"/>
      <c r="U43" s="286"/>
      <c r="V43" s="285"/>
      <c r="W43" s="427"/>
    </row>
    <row r="44" spans="1:23" x14ac:dyDescent="0.15">
      <c r="A44" s="398"/>
      <c r="B44" s="272">
        <v>30</v>
      </c>
      <c r="C44" s="278">
        <f t="shared" si="6"/>
        <v>46203</v>
      </c>
      <c r="D44" s="280">
        <f t="shared" si="7"/>
        <v>0</v>
      </c>
      <c r="E44" s="280">
        <f t="shared" si="0"/>
        <v>0</v>
      </c>
      <c r="F44" s="280">
        <f t="shared" si="1"/>
        <v>0</v>
      </c>
      <c r="G44" s="404">
        <f t="shared" si="2"/>
        <v>0</v>
      </c>
      <c r="H44" s="281"/>
      <c r="I44" s="413"/>
      <c r="J44" s="274">
        <v>30</v>
      </c>
      <c r="K44" s="428">
        <f t="shared" si="8"/>
        <v>46203</v>
      </c>
      <c r="L44" s="286">
        <f t="shared" si="9"/>
        <v>3578032.9613349005</v>
      </c>
      <c r="M44" s="286">
        <f t="shared" si="3"/>
        <v>19381.01187389738</v>
      </c>
      <c r="N44" s="285">
        <f t="shared" si="4"/>
        <v>3893.369271300704</v>
      </c>
      <c r="O44" s="427">
        <f t="shared" si="5"/>
        <v>3574139.5920635997</v>
      </c>
      <c r="Q44" s="413"/>
      <c r="R44" s="274"/>
      <c r="S44" s="428"/>
      <c r="T44" s="286"/>
      <c r="U44" s="286"/>
      <c r="V44" s="285"/>
      <c r="W44" s="427"/>
    </row>
    <row r="45" spans="1:23" x14ac:dyDescent="0.15">
      <c r="A45" s="398"/>
      <c r="B45" s="272">
        <v>31</v>
      </c>
      <c r="C45" s="278">
        <f t="shared" si="6"/>
        <v>46234</v>
      </c>
      <c r="D45" s="280">
        <f t="shared" si="7"/>
        <v>0</v>
      </c>
      <c r="E45" s="280">
        <f t="shared" si="0"/>
        <v>0</v>
      </c>
      <c r="F45" s="280">
        <f t="shared" si="1"/>
        <v>0</v>
      </c>
      <c r="G45" s="404">
        <f t="shared" si="2"/>
        <v>0</v>
      </c>
      <c r="H45" s="281"/>
      <c r="I45" s="413"/>
      <c r="J45" s="274">
        <v>31</v>
      </c>
      <c r="K45" s="428">
        <f t="shared" si="8"/>
        <v>46234</v>
      </c>
      <c r="L45" s="286">
        <f t="shared" si="9"/>
        <v>3574139.5920635997</v>
      </c>
      <c r="M45" s="286">
        <f t="shared" si="3"/>
        <v>19359.922790344499</v>
      </c>
      <c r="N45" s="285">
        <f t="shared" si="4"/>
        <v>3914.4583548535848</v>
      </c>
      <c r="O45" s="427">
        <f t="shared" si="5"/>
        <v>3570225.1337087462</v>
      </c>
      <c r="Q45" s="413"/>
      <c r="R45" s="274"/>
      <c r="S45" s="428"/>
      <c r="T45" s="286"/>
      <c r="U45" s="286"/>
      <c r="V45" s="285"/>
      <c r="W45" s="427"/>
    </row>
    <row r="46" spans="1:23" x14ac:dyDescent="0.15">
      <c r="A46" s="398"/>
      <c r="B46" s="272">
        <v>32</v>
      </c>
      <c r="C46" s="278">
        <f t="shared" si="6"/>
        <v>46265</v>
      </c>
      <c r="D46" s="280">
        <f t="shared" si="7"/>
        <v>0</v>
      </c>
      <c r="E46" s="280">
        <f t="shared" si="0"/>
        <v>0</v>
      </c>
      <c r="F46" s="280">
        <f t="shared" si="1"/>
        <v>0</v>
      </c>
      <c r="G46" s="404">
        <f t="shared" si="2"/>
        <v>0</v>
      </c>
      <c r="H46" s="281"/>
      <c r="I46" s="413"/>
      <c r="J46" s="274">
        <v>32</v>
      </c>
      <c r="K46" s="428">
        <f t="shared" si="8"/>
        <v>46265</v>
      </c>
      <c r="L46" s="286">
        <f t="shared" si="9"/>
        <v>3570225.1337087462</v>
      </c>
      <c r="M46" s="286">
        <f t="shared" si="3"/>
        <v>19338.719474255708</v>
      </c>
      <c r="N46" s="285">
        <f t="shared" si="4"/>
        <v>3935.6616709423761</v>
      </c>
      <c r="O46" s="427">
        <f t="shared" si="5"/>
        <v>3566289.4720378038</v>
      </c>
      <c r="Q46" s="413"/>
      <c r="R46" s="274"/>
      <c r="S46" s="428"/>
      <c r="T46" s="286"/>
      <c r="U46" s="286"/>
      <c r="V46" s="285"/>
      <c r="W46" s="427"/>
    </row>
    <row r="47" spans="1:23" x14ac:dyDescent="0.15">
      <c r="A47" s="398"/>
      <c r="B47" s="272">
        <v>33</v>
      </c>
      <c r="C47" s="278">
        <f t="shared" si="6"/>
        <v>46295</v>
      </c>
      <c r="D47" s="280">
        <f t="shared" si="7"/>
        <v>0</v>
      </c>
      <c r="E47" s="280">
        <f t="shared" si="0"/>
        <v>0</v>
      </c>
      <c r="F47" s="280">
        <f t="shared" si="1"/>
        <v>0</v>
      </c>
      <c r="G47" s="404">
        <f t="shared" si="2"/>
        <v>0</v>
      </c>
      <c r="H47" s="281"/>
      <c r="I47" s="413"/>
      <c r="J47" s="274">
        <v>33</v>
      </c>
      <c r="K47" s="428">
        <f t="shared" si="8"/>
        <v>46295</v>
      </c>
      <c r="L47" s="286">
        <f t="shared" si="9"/>
        <v>3566289.4720378038</v>
      </c>
      <c r="M47" s="286">
        <f t="shared" si="3"/>
        <v>19317.401306871438</v>
      </c>
      <c r="N47" s="285">
        <f t="shared" si="4"/>
        <v>3956.9798383266461</v>
      </c>
      <c r="O47" s="427">
        <f t="shared" si="5"/>
        <v>3562332.4921994773</v>
      </c>
      <c r="Q47" s="413"/>
      <c r="R47" s="274"/>
      <c r="S47" s="428"/>
      <c r="T47" s="286"/>
      <c r="U47" s="286"/>
      <c r="V47" s="285"/>
      <c r="W47" s="427"/>
    </row>
    <row r="48" spans="1:23" x14ac:dyDescent="0.15">
      <c r="A48" s="398"/>
      <c r="B48" s="272">
        <v>34</v>
      </c>
      <c r="C48" s="278">
        <f t="shared" si="6"/>
        <v>46326</v>
      </c>
      <c r="D48" s="280">
        <f t="shared" si="7"/>
        <v>0</v>
      </c>
      <c r="E48" s="280">
        <f t="shared" si="0"/>
        <v>0</v>
      </c>
      <c r="F48" s="280">
        <f t="shared" si="1"/>
        <v>0</v>
      </c>
      <c r="G48" s="404">
        <f t="shared" si="2"/>
        <v>0</v>
      </c>
      <c r="H48" s="281"/>
      <c r="I48" s="413"/>
      <c r="J48" s="274">
        <v>34</v>
      </c>
      <c r="K48" s="428">
        <f t="shared" si="8"/>
        <v>46326</v>
      </c>
      <c r="L48" s="286">
        <f t="shared" si="9"/>
        <v>3562332.4921994773</v>
      </c>
      <c r="M48" s="286">
        <f t="shared" si="3"/>
        <v>19295.967666080502</v>
      </c>
      <c r="N48" s="285">
        <f t="shared" si="4"/>
        <v>3978.413479117582</v>
      </c>
      <c r="O48" s="427">
        <f t="shared" si="5"/>
        <v>3558354.0787203596</v>
      </c>
      <c r="Q48" s="413"/>
      <c r="R48" s="274"/>
      <c r="S48" s="428"/>
      <c r="T48" s="286"/>
      <c r="U48" s="286"/>
      <c r="V48" s="285"/>
      <c r="W48" s="427"/>
    </row>
    <row r="49" spans="1:23" x14ac:dyDescent="0.15">
      <c r="A49" s="398"/>
      <c r="B49" s="272">
        <v>35</v>
      </c>
      <c r="C49" s="278">
        <f t="shared" si="6"/>
        <v>46356</v>
      </c>
      <c r="D49" s="280">
        <f t="shared" si="7"/>
        <v>0</v>
      </c>
      <c r="E49" s="280">
        <f t="shared" si="0"/>
        <v>0</v>
      </c>
      <c r="F49" s="280">
        <f t="shared" si="1"/>
        <v>0</v>
      </c>
      <c r="G49" s="404">
        <f t="shared" si="2"/>
        <v>0</v>
      </c>
      <c r="H49" s="281"/>
      <c r="I49" s="413"/>
      <c r="J49" s="274">
        <v>35</v>
      </c>
      <c r="K49" s="428">
        <f t="shared" si="8"/>
        <v>46356</v>
      </c>
      <c r="L49" s="286">
        <f t="shared" si="9"/>
        <v>3558354.0787203596</v>
      </c>
      <c r="M49" s="286">
        <f t="shared" si="3"/>
        <v>19274.417926401948</v>
      </c>
      <c r="N49" s="285">
        <f t="shared" si="4"/>
        <v>3999.9632187961361</v>
      </c>
      <c r="O49" s="427">
        <f t="shared" si="5"/>
        <v>3554354.1155015635</v>
      </c>
      <c r="Q49" s="413"/>
      <c r="R49" s="274"/>
      <c r="S49" s="428"/>
      <c r="T49" s="286"/>
      <c r="U49" s="286"/>
      <c r="V49" s="285"/>
      <c r="W49" s="427"/>
    </row>
    <row r="50" spans="1:23" x14ac:dyDescent="0.15">
      <c r="A50" s="398"/>
      <c r="B50" s="272">
        <v>36</v>
      </c>
      <c r="C50" s="278">
        <f t="shared" si="6"/>
        <v>46387</v>
      </c>
      <c r="D50" s="280">
        <f t="shared" si="7"/>
        <v>0</v>
      </c>
      <c r="E50" s="280">
        <f t="shared" si="0"/>
        <v>0</v>
      </c>
      <c r="F50" s="280">
        <f t="shared" si="1"/>
        <v>0</v>
      </c>
      <c r="G50" s="404">
        <f t="shared" si="2"/>
        <v>0</v>
      </c>
      <c r="H50" s="281"/>
      <c r="I50" s="413"/>
      <c r="J50" s="274">
        <v>36</v>
      </c>
      <c r="K50" s="428">
        <f t="shared" si="8"/>
        <v>46387</v>
      </c>
      <c r="L50" s="286">
        <f t="shared" si="9"/>
        <v>3554354.1155015635</v>
      </c>
      <c r="M50" s="286">
        <f t="shared" si="3"/>
        <v>19252.751458966803</v>
      </c>
      <c r="N50" s="285">
        <f t="shared" si="4"/>
        <v>4021.6296862312811</v>
      </c>
      <c r="O50" s="427">
        <f t="shared" si="5"/>
        <v>3550332.4858153323</v>
      </c>
      <c r="Q50" s="413"/>
      <c r="R50" s="274"/>
      <c r="S50" s="428"/>
      <c r="T50" s="286"/>
      <c r="U50" s="286"/>
      <c r="V50" s="285"/>
      <c r="W50" s="427"/>
    </row>
    <row r="51" spans="1:23" x14ac:dyDescent="0.15">
      <c r="A51" s="398"/>
      <c r="B51" s="272">
        <v>37</v>
      </c>
      <c r="C51" s="278">
        <f t="shared" si="6"/>
        <v>46418</v>
      </c>
      <c r="D51" s="280">
        <f t="shared" si="7"/>
        <v>0</v>
      </c>
      <c r="E51" s="280">
        <f t="shared" si="0"/>
        <v>0</v>
      </c>
      <c r="F51" s="280">
        <f t="shared" si="1"/>
        <v>0</v>
      </c>
      <c r="G51" s="404">
        <f t="shared" si="2"/>
        <v>0</v>
      </c>
      <c r="H51" s="281"/>
      <c r="I51" s="413"/>
      <c r="J51" s="274">
        <v>37</v>
      </c>
      <c r="K51" s="428">
        <f t="shared" si="8"/>
        <v>46418</v>
      </c>
      <c r="L51" s="286">
        <f t="shared" si="9"/>
        <v>3550332.4858153323</v>
      </c>
      <c r="M51" s="286">
        <f t="shared" si="3"/>
        <v>19230.967631499716</v>
      </c>
      <c r="N51" s="285">
        <f t="shared" si="4"/>
        <v>4043.4135136983678</v>
      </c>
      <c r="O51" s="427">
        <f t="shared" si="5"/>
        <v>3546289.0723016341</v>
      </c>
      <c r="Q51" s="413"/>
      <c r="R51" s="274"/>
      <c r="S51" s="428"/>
      <c r="T51" s="286"/>
      <c r="U51" s="286"/>
      <c r="V51" s="285"/>
      <c r="W51" s="427"/>
    </row>
    <row r="52" spans="1:23" x14ac:dyDescent="0.15">
      <c r="A52" s="398"/>
      <c r="B52" s="272">
        <v>38</v>
      </c>
      <c r="C52" s="278">
        <f t="shared" si="6"/>
        <v>46446</v>
      </c>
      <c r="D52" s="280">
        <f t="shared" si="7"/>
        <v>0</v>
      </c>
      <c r="E52" s="280">
        <f t="shared" si="0"/>
        <v>0</v>
      </c>
      <c r="F52" s="280">
        <f t="shared" si="1"/>
        <v>0</v>
      </c>
      <c r="G52" s="404">
        <f t="shared" si="2"/>
        <v>0</v>
      </c>
      <c r="H52" s="281"/>
      <c r="I52" s="413"/>
      <c r="J52" s="274">
        <v>38</v>
      </c>
      <c r="K52" s="428">
        <f t="shared" si="8"/>
        <v>46446</v>
      </c>
      <c r="L52" s="286">
        <f t="shared" si="9"/>
        <v>3546289.0723016341</v>
      </c>
      <c r="M52" s="286">
        <f t="shared" si="3"/>
        <v>19209.065808300518</v>
      </c>
      <c r="N52" s="285">
        <f t="shared" si="4"/>
        <v>4065.3153368975654</v>
      </c>
      <c r="O52" s="427">
        <f t="shared" si="5"/>
        <v>3542223.7569647366</v>
      </c>
      <c r="Q52" s="413"/>
      <c r="R52" s="274"/>
      <c r="S52" s="428"/>
      <c r="T52" s="286"/>
      <c r="U52" s="286"/>
      <c r="V52" s="285"/>
      <c r="W52" s="427"/>
    </row>
    <row r="53" spans="1:23" x14ac:dyDescent="0.15">
      <c r="A53" s="398"/>
      <c r="B53" s="272">
        <v>39</v>
      </c>
      <c r="C53" s="278">
        <f t="shared" si="6"/>
        <v>46477</v>
      </c>
      <c r="D53" s="280">
        <f t="shared" si="7"/>
        <v>0</v>
      </c>
      <c r="E53" s="280">
        <f t="shared" si="0"/>
        <v>0</v>
      </c>
      <c r="F53" s="280">
        <f t="shared" si="1"/>
        <v>0</v>
      </c>
      <c r="G53" s="404">
        <f t="shared" si="2"/>
        <v>0</v>
      </c>
      <c r="H53" s="281"/>
      <c r="I53" s="413"/>
      <c r="J53" s="274">
        <v>39</v>
      </c>
      <c r="K53" s="428">
        <f t="shared" si="8"/>
        <v>46477</v>
      </c>
      <c r="L53" s="286">
        <f t="shared" si="9"/>
        <v>3542223.7569647366</v>
      </c>
      <c r="M53" s="286">
        <f t="shared" si="3"/>
        <v>19187.045350225657</v>
      </c>
      <c r="N53" s="285">
        <f t="shared" si="4"/>
        <v>4087.3357949724268</v>
      </c>
      <c r="O53" s="427">
        <f t="shared" si="5"/>
        <v>3538136.4211697644</v>
      </c>
      <c r="Q53" s="413"/>
      <c r="R53" s="274"/>
      <c r="S53" s="428"/>
      <c r="T53" s="286"/>
      <c r="U53" s="286"/>
      <c r="V53" s="285"/>
      <c r="W53" s="427"/>
    </row>
    <row r="54" spans="1:23" x14ac:dyDescent="0.15">
      <c r="A54" s="398"/>
      <c r="B54" s="272">
        <v>40</v>
      </c>
      <c r="C54" s="278">
        <f t="shared" si="6"/>
        <v>46507</v>
      </c>
      <c r="D54" s="280">
        <f t="shared" si="7"/>
        <v>0</v>
      </c>
      <c r="E54" s="280">
        <f t="shared" si="0"/>
        <v>0</v>
      </c>
      <c r="F54" s="280">
        <f t="shared" si="1"/>
        <v>0</v>
      </c>
      <c r="G54" s="404">
        <f t="shared" si="2"/>
        <v>0</v>
      </c>
      <c r="H54" s="281"/>
      <c r="I54" s="413"/>
      <c r="J54" s="274">
        <v>40</v>
      </c>
      <c r="K54" s="428">
        <f t="shared" si="8"/>
        <v>46507</v>
      </c>
      <c r="L54" s="286">
        <f t="shared" si="9"/>
        <v>3538136.4211697644</v>
      </c>
      <c r="M54" s="286">
        <f t="shared" si="3"/>
        <v>19164.905614669558</v>
      </c>
      <c r="N54" s="285">
        <f t="shared" si="4"/>
        <v>4109.4755305285253</v>
      </c>
      <c r="O54" s="427">
        <f t="shared" si="5"/>
        <v>3534026.9456392359</v>
      </c>
      <c r="Q54" s="413"/>
      <c r="R54" s="274"/>
      <c r="S54" s="428"/>
      <c r="T54" s="286"/>
      <c r="U54" s="286"/>
      <c r="V54" s="285"/>
      <c r="W54" s="427"/>
    </row>
    <row r="55" spans="1:23" x14ac:dyDescent="0.15">
      <c r="A55" s="398"/>
      <c r="B55" s="272">
        <v>41</v>
      </c>
      <c r="C55" s="278">
        <f t="shared" si="6"/>
        <v>46538</v>
      </c>
      <c r="D55" s="280">
        <f t="shared" si="7"/>
        <v>0</v>
      </c>
      <c r="E55" s="280">
        <f t="shared" si="0"/>
        <v>0</v>
      </c>
      <c r="F55" s="280">
        <f t="shared" si="1"/>
        <v>0</v>
      </c>
      <c r="G55" s="404">
        <f t="shared" si="2"/>
        <v>0</v>
      </c>
      <c r="H55" s="281"/>
      <c r="I55" s="413"/>
      <c r="J55" s="274">
        <v>41</v>
      </c>
      <c r="K55" s="428">
        <f t="shared" si="8"/>
        <v>46538</v>
      </c>
      <c r="L55" s="286">
        <f t="shared" si="9"/>
        <v>3534026.9456392359</v>
      </c>
      <c r="M55" s="286">
        <f t="shared" si="3"/>
        <v>19142.64595554586</v>
      </c>
      <c r="N55" s="285">
        <f t="shared" si="4"/>
        <v>4131.7351896522232</v>
      </c>
      <c r="O55" s="427">
        <f t="shared" si="5"/>
        <v>3529895.2104495838</v>
      </c>
      <c r="Q55" s="413"/>
      <c r="R55" s="274"/>
      <c r="S55" s="428"/>
      <c r="T55" s="286"/>
      <c r="U55" s="286"/>
      <c r="V55" s="285"/>
      <c r="W55" s="427"/>
    </row>
    <row r="56" spans="1:23" x14ac:dyDescent="0.15">
      <c r="A56" s="398"/>
      <c r="B56" s="272">
        <v>42</v>
      </c>
      <c r="C56" s="278">
        <f t="shared" si="6"/>
        <v>46568</v>
      </c>
      <c r="D56" s="280">
        <f t="shared" si="7"/>
        <v>0</v>
      </c>
      <c r="E56" s="280">
        <f t="shared" si="0"/>
        <v>0</v>
      </c>
      <c r="F56" s="280">
        <f t="shared" si="1"/>
        <v>0</v>
      </c>
      <c r="G56" s="404">
        <f t="shared" si="2"/>
        <v>0</v>
      </c>
      <c r="H56" s="281"/>
      <c r="I56" s="413"/>
      <c r="J56" s="274">
        <v>42</v>
      </c>
      <c r="K56" s="428">
        <f t="shared" si="8"/>
        <v>46568</v>
      </c>
      <c r="L56" s="286">
        <f t="shared" si="9"/>
        <v>3529895.2104495838</v>
      </c>
      <c r="M56" s="286">
        <f t="shared" si="3"/>
        <v>19120.265723268578</v>
      </c>
      <c r="N56" s="285">
        <f t="shared" si="4"/>
        <v>4154.1154219295058</v>
      </c>
      <c r="O56" s="427">
        <f t="shared" si="5"/>
        <v>3525741.0950276544</v>
      </c>
      <c r="Q56" s="413"/>
      <c r="R56" s="274"/>
      <c r="S56" s="428"/>
      <c r="T56" s="286"/>
      <c r="U56" s="286"/>
      <c r="V56" s="285"/>
      <c r="W56" s="427"/>
    </row>
    <row r="57" spans="1:23" x14ac:dyDescent="0.15">
      <c r="A57" s="398"/>
      <c r="B57" s="272">
        <v>43</v>
      </c>
      <c r="C57" s="278">
        <f t="shared" si="6"/>
        <v>46599</v>
      </c>
      <c r="D57" s="280">
        <f t="shared" si="7"/>
        <v>0</v>
      </c>
      <c r="E57" s="280">
        <f t="shared" si="0"/>
        <v>0</v>
      </c>
      <c r="F57" s="280">
        <f t="shared" si="1"/>
        <v>0</v>
      </c>
      <c r="G57" s="404">
        <f t="shared" si="2"/>
        <v>0</v>
      </c>
      <c r="H57" s="281"/>
      <c r="I57" s="413"/>
      <c r="J57" s="274">
        <v>43</v>
      </c>
      <c r="K57" s="428">
        <f t="shared" si="8"/>
        <v>46599</v>
      </c>
      <c r="L57" s="286">
        <f t="shared" si="9"/>
        <v>3525741.0950276544</v>
      </c>
      <c r="M57" s="286">
        <f t="shared" si="3"/>
        <v>19097.764264733127</v>
      </c>
      <c r="N57" s="285">
        <f t="shared" si="4"/>
        <v>4176.6168804649569</v>
      </c>
      <c r="O57" s="427">
        <f t="shared" si="5"/>
        <v>3521564.4781471896</v>
      </c>
      <c r="Q57" s="413"/>
      <c r="R57" s="274"/>
      <c r="S57" s="428"/>
      <c r="T57" s="286"/>
      <c r="U57" s="286"/>
      <c r="V57" s="285"/>
      <c r="W57" s="427"/>
    </row>
    <row r="58" spans="1:23" x14ac:dyDescent="0.15">
      <c r="A58" s="398"/>
      <c r="B58" s="272">
        <v>44</v>
      </c>
      <c r="C58" s="278">
        <f t="shared" si="6"/>
        <v>46630</v>
      </c>
      <c r="D58" s="280">
        <f t="shared" si="7"/>
        <v>0</v>
      </c>
      <c r="E58" s="280">
        <f t="shared" si="0"/>
        <v>0</v>
      </c>
      <c r="F58" s="280">
        <f t="shared" si="1"/>
        <v>0</v>
      </c>
      <c r="G58" s="404">
        <f t="shared" si="2"/>
        <v>0</v>
      </c>
      <c r="H58" s="281"/>
      <c r="I58" s="413"/>
      <c r="J58" s="274">
        <v>44</v>
      </c>
      <c r="K58" s="428">
        <f t="shared" si="8"/>
        <v>46630</v>
      </c>
      <c r="L58" s="286">
        <f t="shared" si="9"/>
        <v>3521564.4781471896</v>
      </c>
      <c r="M58" s="286">
        <f t="shared" si="3"/>
        <v>19075.140923297276</v>
      </c>
      <c r="N58" s="285">
        <f t="shared" si="4"/>
        <v>4199.2402219008072</v>
      </c>
      <c r="O58" s="427">
        <f t="shared" si="5"/>
        <v>3517365.2379252887</v>
      </c>
      <c r="Q58" s="413"/>
      <c r="R58" s="274"/>
      <c r="S58" s="428"/>
      <c r="T58" s="286"/>
      <c r="U58" s="286"/>
      <c r="V58" s="285"/>
      <c r="W58" s="427"/>
    </row>
    <row r="59" spans="1:23" x14ac:dyDescent="0.15">
      <c r="A59" s="398"/>
      <c r="B59" s="272">
        <v>45</v>
      </c>
      <c r="C59" s="278">
        <f t="shared" si="6"/>
        <v>46660</v>
      </c>
      <c r="D59" s="280">
        <f t="shared" si="7"/>
        <v>0</v>
      </c>
      <c r="E59" s="280">
        <f t="shared" si="0"/>
        <v>0</v>
      </c>
      <c r="F59" s="280">
        <f t="shared" si="1"/>
        <v>0</v>
      </c>
      <c r="G59" s="404">
        <f t="shared" si="2"/>
        <v>0</v>
      </c>
      <c r="H59" s="281"/>
      <c r="I59" s="413"/>
      <c r="J59" s="274">
        <v>45</v>
      </c>
      <c r="K59" s="428">
        <f t="shared" si="8"/>
        <v>46660</v>
      </c>
      <c r="L59" s="286">
        <f t="shared" si="9"/>
        <v>3517365.2379252887</v>
      </c>
      <c r="M59" s="286">
        <f t="shared" si="3"/>
        <v>19052.395038761981</v>
      </c>
      <c r="N59" s="285">
        <f t="shared" si="4"/>
        <v>4221.986106436103</v>
      </c>
      <c r="O59" s="427">
        <f t="shared" si="5"/>
        <v>3513143.2518188525</v>
      </c>
      <c r="Q59" s="413"/>
      <c r="R59" s="274"/>
      <c r="S59" s="428"/>
      <c r="T59" s="286"/>
      <c r="U59" s="286"/>
      <c r="V59" s="285"/>
      <c r="W59" s="427"/>
    </row>
    <row r="60" spans="1:23" x14ac:dyDescent="0.15">
      <c r="A60" s="398"/>
      <c r="B60" s="272">
        <v>46</v>
      </c>
      <c r="C60" s="278">
        <f t="shared" si="6"/>
        <v>46691</v>
      </c>
      <c r="D60" s="280">
        <f t="shared" si="7"/>
        <v>0</v>
      </c>
      <c r="E60" s="280">
        <f t="shared" si="0"/>
        <v>0</v>
      </c>
      <c r="F60" s="280">
        <f t="shared" si="1"/>
        <v>0</v>
      </c>
      <c r="G60" s="404">
        <f t="shared" si="2"/>
        <v>0</v>
      </c>
      <c r="H60" s="281"/>
      <c r="I60" s="413"/>
      <c r="J60" s="274">
        <v>46</v>
      </c>
      <c r="K60" s="428">
        <f t="shared" si="8"/>
        <v>46691</v>
      </c>
      <c r="L60" s="286">
        <f t="shared" si="9"/>
        <v>3513143.2518188525</v>
      </c>
      <c r="M60" s="286">
        <f t="shared" si="3"/>
        <v>19029.525947352118</v>
      </c>
      <c r="N60" s="285">
        <f t="shared" si="4"/>
        <v>4244.8551978459654</v>
      </c>
      <c r="O60" s="427">
        <f t="shared" si="5"/>
        <v>3508898.3966210065</v>
      </c>
      <c r="Q60" s="413"/>
      <c r="R60" s="274"/>
      <c r="S60" s="428"/>
      <c r="T60" s="286"/>
      <c r="U60" s="286"/>
      <c r="V60" s="285"/>
      <c r="W60" s="427"/>
    </row>
    <row r="61" spans="1:23" x14ac:dyDescent="0.15">
      <c r="A61" s="398"/>
      <c r="B61" s="272">
        <v>47</v>
      </c>
      <c r="C61" s="278">
        <f t="shared" si="6"/>
        <v>46721</v>
      </c>
      <c r="D61" s="280">
        <f t="shared" si="7"/>
        <v>0</v>
      </c>
      <c r="E61" s="280">
        <f t="shared" si="0"/>
        <v>0</v>
      </c>
      <c r="F61" s="280">
        <f t="shared" si="1"/>
        <v>0</v>
      </c>
      <c r="G61" s="404">
        <f t="shared" si="2"/>
        <v>0</v>
      </c>
      <c r="H61" s="281"/>
      <c r="I61" s="413"/>
      <c r="J61" s="274">
        <v>47</v>
      </c>
      <c r="K61" s="428">
        <f t="shared" si="8"/>
        <v>46721</v>
      </c>
      <c r="L61" s="286">
        <f t="shared" si="9"/>
        <v>3508898.3966210065</v>
      </c>
      <c r="M61" s="286">
        <f t="shared" si="3"/>
        <v>19006.532981697117</v>
      </c>
      <c r="N61" s="285">
        <f t="shared" si="4"/>
        <v>4267.8481635009666</v>
      </c>
      <c r="O61" s="427">
        <f t="shared" si="5"/>
        <v>3504630.5484575056</v>
      </c>
      <c r="Q61" s="413"/>
      <c r="R61" s="274"/>
      <c r="S61" s="428"/>
      <c r="T61" s="286"/>
      <c r="U61" s="286"/>
      <c r="V61" s="285"/>
      <c r="W61" s="427"/>
    </row>
    <row r="62" spans="1:23" x14ac:dyDescent="0.15">
      <c r="A62" s="398"/>
      <c r="B62" s="272">
        <v>48</v>
      </c>
      <c r="C62" s="278">
        <f t="shared" si="6"/>
        <v>46752</v>
      </c>
      <c r="D62" s="280">
        <f t="shared" si="7"/>
        <v>0</v>
      </c>
      <c r="E62" s="280">
        <f t="shared" si="0"/>
        <v>0</v>
      </c>
      <c r="F62" s="280">
        <f t="shared" si="1"/>
        <v>0</v>
      </c>
      <c r="G62" s="404">
        <f t="shared" si="2"/>
        <v>0</v>
      </c>
      <c r="H62" s="281"/>
      <c r="I62" s="413"/>
      <c r="J62" s="274">
        <v>48</v>
      </c>
      <c r="K62" s="428">
        <f t="shared" si="8"/>
        <v>46752</v>
      </c>
      <c r="L62" s="286">
        <f t="shared" si="9"/>
        <v>3504630.5484575056</v>
      </c>
      <c r="M62" s="286">
        <f t="shared" si="3"/>
        <v>18983.415470811491</v>
      </c>
      <c r="N62" s="285">
        <f t="shared" si="4"/>
        <v>4290.9656743865926</v>
      </c>
      <c r="O62" s="427">
        <f t="shared" si="5"/>
        <v>3500339.5827831188</v>
      </c>
      <c r="Q62" s="413"/>
      <c r="R62" s="274"/>
      <c r="S62" s="428"/>
      <c r="T62" s="286"/>
      <c r="U62" s="286"/>
      <c r="V62" s="285"/>
      <c r="W62" s="427"/>
    </row>
    <row r="63" spans="1:23" x14ac:dyDescent="0.15">
      <c r="A63" s="398"/>
      <c r="B63" s="272">
        <v>49</v>
      </c>
      <c r="C63" s="278">
        <f t="shared" si="6"/>
        <v>46783</v>
      </c>
      <c r="D63" s="280">
        <f t="shared" si="7"/>
        <v>0</v>
      </c>
      <c r="E63" s="280">
        <f t="shared" si="0"/>
        <v>0</v>
      </c>
      <c r="F63" s="280">
        <f t="shared" si="1"/>
        <v>0</v>
      </c>
      <c r="G63" s="404">
        <f t="shared" si="2"/>
        <v>0</v>
      </c>
      <c r="H63" s="281"/>
      <c r="I63" s="413"/>
      <c r="J63" s="274">
        <v>49</v>
      </c>
      <c r="K63" s="428">
        <f t="shared" si="8"/>
        <v>46783</v>
      </c>
      <c r="L63" s="286">
        <f t="shared" si="9"/>
        <v>3500339.5827831188</v>
      </c>
      <c r="M63" s="286">
        <f t="shared" si="3"/>
        <v>18960.172740075228</v>
      </c>
      <c r="N63" s="285">
        <f t="shared" si="4"/>
        <v>4314.2084051228558</v>
      </c>
      <c r="O63" s="427">
        <f t="shared" si="5"/>
        <v>3496025.3743779962</v>
      </c>
      <c r="Q63" s="413"/>
      <c r="R63" s="274"/>
      <c r="S63" s="428"/>
      <c r="T63" s="286"/>
      <c r="U63" s="286"/>
      <c r="V63" s="285"/>
      <c r="W63" s="427"/>
    </row>
    <row r="64" spans="1:23" x14ac:dyDescent="0.15">
      <c r="A64" s="398"/>
      <c r="B64" s="272">
        <v>50</v>
      </c>
      <c r="C64" s="278">
        <f t="shared" si="6"/>
        <v>46812</v>
      </c>
      <c r="D64" s="280">
        <f t="shared" si="7"/>
        <v>0</v>
      </c>
      <c r="E64" s="280">
        <f t="shared" si="0"/>
        <v>0</v>
      </c>
      <c r="F64" s="280">
        <f t="shared" si="1"/>
        <v>0</v>
      </c>
      <c r="G64" s="404">
        <f t="shared" si="2"/>
        <v>0</v>
      </c>
      <c r="H64" s="281"/>
      <c r="I64" s="413"/>
      <c r="J64" s="274">
        <v>50</v>
      </c>
      <c r="K64" s="428">
        <f t="shared" si="8"/>
        <v>46812</v>
      </c>
      <c r="L64" s="286">
        <f t="shared" si="9"/>
        <v>3496025.3743779962</v>
      </c>
      <c r="M64" s="286">
        <f t="shared" si="3"/>
        <v>18936.804111214147</v>
      </c>
      <c r="N64" s="285">
        <f t="shared" si="4"/>
        <v>4337.5770339839364</v>
      </c>
      <c r="O64" s="427">
        <f t="shared" si="5"/>
        <v>3491687.7973440122</v>
      </c>
      <c r="Q64" s="413"/>
      <c r="R64" s="274"/>
      <c r="S64" s="428"/>
      <c r="T64" s="286"/>
      <c r="U64" s="286"/>
      <c r="V64" s="285"/>
      <c r="W64" s="427"/>
    </row>
    <row r="65" spans="1:23" x14ac:dyDescent="0.15">
      <c r="A65" s="398"/>
      <c r="B65" s="272">
        <v>51</v>
      </c>
      <c r="C65" s="278">
        <f t="shared" si="6"/>
        <v>46843</v>
      </c>
      <c r="D65" s="280">
        <f t="shared" si="7"/>
        <v>0</v>
      </c>
      <c r="E65" s="280">
        <f t="shared" si="0"/>
        <v>0</v>
      </c>
      <c r="F65" s="280">
        <f t="shared" si="1"/>
        <v>0</v>
      </c>
      <c r="G65" s="404">
        <f t="shared" si="2"/>
        <v>0</v>
      </c>
      <c r="H65" s="281"/>
      <c r="I65" s="413"/>
      <c r="J65" s="274">
        <v>51</v>
      </c>
      <c r="K65" s="428">
        <f t="shared" si="8"/>
        <v>46843</v>
      </c>
      <c r="L65" s="286">
        <f t="shared" si="9"/>
        <v>3491687.7973440122</v>
      </c>
      <c r="M65" s="286">
        <f t="shared" si="3"/>
        <v>18913.308902280067</v>
      </c>
      <c r="N65" s="285">
        <f t="shared" si="4"/>
        <v>4361.0722429180169</v>
      </c>
      <c r="O65" s="427">
        <f t="shared" si="5"/>
        <v>3487326.7251010942</v>
      </c>
      <c r="Q65" s="413"/>
      <c r="R65" s="274"/>
      <c r="S65" s="428"/>
      <c r="T65" s="286"/>
      <c r="U65" s="286"/>
      <c r="V65" s="285"/>
      <c r="W65" s="427"/>
    </row>
    <row r="66" spans="1:23" x14ac:dyDescent="0.15">
      <c r="A66" s="398"/>
      <c r="B66" s="272">
        <v>52</v>
      </c>
      <c r="C66" s="278">
        <f t="shared" si="6"/>
        <v>46873</v>
      </c>
      <c r="D66" s="280">
        <f t="shared" si="7"/>
        <v>0</v>
      </c>
      <c r="E66" s="280">
        <f t="shared" si="0"/>
        <v>0</v>
      </c>
      <c r="F66" s="280">
        <f t="shared" si="1"/>
        <v>0</v>
      </c>
      <c r="G66" s="404">
        <f t="shared" si="2"/>
        <v>0</v>
      </c>
      <c r="H66" s="281"/>
      <c r="I66" s="413"/>
      <c r="J66" s="274">
        <v>52</v>
      </c>
      <c r="K66" s="428">
        <f t="shared" si="8"/>
        <v>46873</v>
      </c>
      <c r="L66" s="286">
        <f t="shared" si="9"/>
        <v>3487326.7251010942</v>
      </c>
      <c r="M66" s="286">
        <f t="shared" si="3"/>
        <v>18889.686427630928</v>
      </c>
      <c r="N66" s="285">
        <f t="shared" si="4"/>
        <v>4384.6947175671557</v>
      </c>
      <c r="O66" s="427">
        <f t="shared" si="5"/>
        <v>3482942.0303835273</v>
      </c>
      <c r="Q66" s="413"/>
      <c r="R66" s="274"/>
      <c r="S66" s="428"/>
      <c r="T66" s="286"/>
      <c r="U66" s="286"/>
      <c r="V66" s="285"/>
      <c r="W66" s="427"/>
    </row>
    <row r="67" spans="1:23" x14ac:dyDescent="0.15">
      <c r="A67" s="398"/>
      <c r="B67" s="272">
        <v>53</v>
      </c>
      <c r="C67" s="278">
        <f t="shared" si="6"/>
        <v>46904</v>
      </c>
      <c r="D67" s="280">
        <f t="shared" si="7"/>
        <v>0</v>
      </c>
      <c r="E67" s="280">
        <f t="shared" si="0"/>
        <v>0</v>
      </c>
      <c r="F67" s="280">
        <f t="shared" si="1"/>
        <v>0</v>
      </c>
      <c r="G67" s="404">
        <f t="shared" si="2"/>
        <v>0</v>
      </c>
      <c r="H67" s="281"/>
      <c r="I67" s="413"/>
      <c r="J67" s="274">
        <v>53</v>
      </c>
      <c r="K67" s="428">
        <f t="shared" si="8"/>
        <v>46904</v>
      </c>
      <c r="L67" s="286">
        <f t="shared" si="9"/>
        <v>3482942.0303835273</v>
      </c>
      <c r="M67" s="286">
        <f t="shared" si="3"/>
        <v>18865.935997910772</v>
      </c>
      <c r="N67" s="285">
        <f t="shared" si="4"/>
        <v>4408.4451472873116</v>
      </c>
      <c r="O67" s="427">
        <f t="shared" si="5"/>
        <v>3478533.5852362402</v>
      </c>
      <c r="Q67" s="413"/>
      <c r="R67" s="274"/>
      <c r="S67" s="428"/>
      <c r="T67" s="286"/>
      <c r="U67" s="286"/>
      <c r="V67" s="285"/>
      <c r="W67" s="427"/>
    </row>
    <row r="68" spans="1:23" x14ac:dyDescent="0.15">
      <c r="A68" s="398"/>
      <c r="B68" s="272">
        <v>54</v>
      </c>
      <c r="C68" s="278">
        <f t="shared" si="6"/>
        <v>46934</v>
      </c>
      <c r="D68" s="280">
        <f t="shared" si="7"/>
        <v>0</v>
      </c>
      <c r="E68" s="280">
        <f t="shared" si="0"/>
        <v>0</v>
      </c>
      <c r="F68" s="280">
        <f t="shared" si="1"/>
        <v>0</v>
      </c>
      <c r="G68" s="404">
        <f t="shared" si="2"/>
        <v>0</v>
      </c>
      <c r="H68" s="281"/>
      <c r="I68" s="413"/>
      <c r="J68" s="274">
        <v>54</v>
      </c>
      <c r="K68" s="428">
        <f t="shared" si="8"/>
        <v>46934</v>
      </c>
      <c r="L68" s="286">
        <f t="shared" si="9"/>
        <v>3478533.5852362402</v>
      </c>
      <c r="M68" s="286">
        <f t="shared" si="3"/>
        <v>18842.056920029634</v>
      </c>
      <c r="N68" s="285">
        <f t="shared" si="4"/>
        <v>4432.3242251684496</v>
      </c>
      <c r="O68" s="427">
        <f t="shared" si="5"/>
        <v>3474101.2610110715</v>
      </c>
      <c r="Q68" s="413"/>
      <c r="R68" s="274"/>
      <c r="S68" s="428"/>
      <c r="T68" s="286"/>
      <c r="U68" s="286"/>
      <c r="V68" s="285"/>
      <c r="W68" s="427"/>
    </row>
    <row r="69" spans="1:23" x14ac:dyDescent="0.15">
      <c r="A69" s="398"/>
      <c r="B69" s="272">
        <v>55</v>
      </c>
      <c r="C69" s="278">
        <f t="shared" si="6"/>
        <v>46965</v>
      </c>
      <c r="D69" s="280">
        <f t="shared" si="7"/>
        <v>0</v>
      </c>
      <c r="E69" s="280">
        <f t="shared" si="0"/>
        <v>0</v>
      </c>
      <c r="F69" s="280">
        <f t="shared" si="1"/>
        <v>0</v>
      </c>
      <c r="G69" s="404">
        <f t="shared" si="2"/>
        <v>0</v>
      </c>
      <c r="H69" s="281"/>
      <c r="I69" s="413"/>
      <c r="J69" s="274">
        <v>55</v>
      </c>
      <c r="K69" s="428">
        <f t="shared" si="8"/>
        <v>46965</v>
      </c>
      <c r="L69" s="286">
        <f t="shared" si="9"/>
        <v>3474101.2610110715</v>
      </c>
      <c r="M69" s="286">
        <f t="shared" si="3"/>
        <v>18818.048497143307</v>
      </c>
      <c r="N69" s="285">
        <f t="shared" si="4"/>
        <v>4456.3326480547767</v>
      </c>
      <c r="O69" s="427">
        <f t="shared" si="5"/>
        <v>3469644.9283630168</v>
      </c>
      <c r="Q69" s="413"/>
      <c r="R69" s="274"/>
      <c r="S69" s="428"/>
      <c r="T69" s="286"/>
      <c r="U69" s="286"/>
      <c r="V69" s="285"/>
      <c r="W69" s="427"/>
    </row>
    <row r="70" spans="1:23" x14ac:dyDescent="0.15">
      <c r="A70" s="398"/>
      <c r="B70" s="272">
        <v>56</v>
      </c>
      <c r="C70" s="278">
        <f t="shared" si="6"/>
        <v>46996</v>
      </c>
      <c r="D70" s="280">
        <f t="shared" si="7"/>
        <v>0</v>
      </c>
      <c r="E70" s="280">
        <f t="shared" si="0"/>
        <v>0</v>
      </c>
      <c r="F70" s="280">
        <f t="shared" si="1"/>
        <v>0</v>
      </c>
      <c r="G70" s="404">
        <f t="shared" si="2"/>
        <v>0</v>
      </c>
      <c r="H70" s="281"/>
      <c r="I70" s="413"/>
      <c r="J70" s="274">
        <v>56</v>
      </c>
      <c r="K70" s="428">
        <f t="shared" si="8"/>
        <v>46996</v>
      </c>
      <c r="L70" s="286">
        <f t="shared" si="9"/>
        <v>3469644.9283630168</v>
      </c>
      <c r="M70" s="286">
        <f t="shared" si="3"/>
        <v>18793.91002863301</v>
      </c>
      <c r="N70" s="285">
        <f t="shared" si="4"/>
        <v>4480.4711165650733</v>
      </c>
      <c r="O70" s="427">
        <f t="shared" si="5"/>
        <v>3465164.4572464516</v>
      </c>
      <c r="Q70" s="413"/>
      <c r="R70" s="274"/>
      <c r="S70" s="428"/>
      <c r="T70" s="286"/>
      <c r="U70" s="286"/>
      <c r="V70" s="285"/>
      <c r="W70" s="427"/>
    </row>
    <row r="71" spans="1:23" x14ac:dyDescent="0.15">
      <c r="A71" s="398"/>
      <c r="B71" s="272">
        <v>57</v>
      </c>
      <c r="C71" s="278">
        <f t="shared" si="6"/>
        <v>47026</v>
      </c>
      <c r="D71" s="280">
        <f t="shared" si="7"/>
        <v>0</v>
      </c>
      <c r="E71" s="280">
        <f t="shared" si="0"/>
        <v>0</v>
      </c>
      <c r="F71" s="280">
        <f t="shared" si="1"/>
        <v>0</v>
      </c>
      <c r="G71" s="404">
        <f t="shared" si="2"/>
        <v>0</v>
      </c>
      <c r="H71" s="281"/>
      <c r="I71" s="413"/>
      <c r="J71" s="274">
        <v>57</v>
      </c>
      <c r="K71" s="428">
        <f t="shared" si="8"/>
        <v>47026</v>
      </c>
      <c r="L71" s="286">
        <f t="shared" si="9"/>
        <v>3465164.4572464516</v>
      </c>
      <c r="M71" s="286">
        <f t="shared" si="3"/>
        <v>18769.640810084948</v>
      </c>
      <c r="N71" s="285">
        <f t="shared" si="4"/>
        <v>4504.7403351131361</v>
      </c>
      <c r="O71" s="427">
        <f t="shared" si="5"/>
        <v>3460659.7169113383</v>
      </c>
      <c r="Q71" s="413"/>
      <c r="R71" s="274"/>
      <c r="S71" s="428"/>
      <c r="T71" s="286"/>
      <c r="U71" s="286"/>
      <c r="V71" s="285"/>
      <c r="W71" s="427"/>
    </row>
    <row r="72" spans="1:23" x14ac:dyDescent="0.15">
      <c r="A72" s="398"/>
      <c r="B72" s="272">
        <v>58</v>
      </c>
      <c r="C72" s="278">
        <f t="shared" si="6"/>
        <v>47057</v>
      </c>
      <c r="D72" s="280">
        <f t="shared" si="7"/>
        <v>0</v>
      </c>
      <c r="E72" s="280">
        <f t="shared" si="0"/>
        <v>0</v>
      </c>
      <c r="F72" s="280">
        <f t="shared" si="1"/>
        <v>0</v>
      </c>
      <c r="G72" s="404">
        <f t="shared" si="2"/>
        <v>0</v>
      </c>
      <c r="H72" s="281"/>
      <c r="I72" s="413"/>
      <c r="J72" s="274">
        <v>58</v>
      </c>
      <c r="K72" s="428">
        <f t="shared" si="8"/>
        <v>47057</v>
      </c>
      <c r="L72" s="286">
        <f t="shared" si="9"/>
        <v>3460659.7169113383</v>
      </c>
      <c r="M72" s="286">
        <f t="shared" si="3"/>
        <v>18745.240133269752</v>
      </c>
      <c r="N72" s="285">
        <f t="shared" si="4"/>
        <v>4529.1410119283319</v>
      </c>
      <c r="O72" s="427">
        <f t="shared" si="5"/>
        <v>3456130.5758994101</v>
      </c>
      <c r="Q72" s="413"/>
      <c r="R72" s="274"/>
      <c r="S72" s="428"/>
      <c r="T72" s="286"/>
      <c r="U72" s="286"/>
      <c r="V72" s="285"/>
      <c r="W72" s="427"/>
    </row>
    <row r="73" spans="1:23" x14ac:dyDescent="0.15">
      <c r="A73" s="398"/>
      <c r="B73" s="272">
        <v>59</v>
      </c>
      <c r="C73" s="278">
        <f t="shared" si="6"/>
        <v>47087</v>
      </c>
      <c r="D73" s="280">
        <f t="shared" si="7"/>
        <v>0</v>
      </c>
      <c r="E73" s="280">
        <f t="shared" si="0"/>
        <v>0</v>
      </c>
      <c r="F73" s="280">
        <f t="shared" si="1"/>
        <v>0</v>
      </c>
      <c r="G73" s="404">
        <f t="shared" si="2"/>
        <v>0</v>
      </c>
      <c r="H73" s="281"/>
      <c r="I73" s="413"/>
      <c r="J73" s="274">
        <v>59</v>
      </c>
      <c r="K73" s="428">
        <f t="shared" si="8"/>
        <v>47087</v>
      </c>
      <c r="L73" s="286">
        <f t="shared" si="9"/>
        <v>3456130.5758994101</v>
      </c>
      <c r="M73" s="286">
        <f t="shared" si="3"/>
        <v>18720.707286121808</v>
      </c>
      <c r="N73" s="285">
        <f t="shared" si="4"/>
        <v>4553.6738590762761</v>
      </c>
      <c r="O73" s="427">
        <f t="shared" si="5"/>
        <v>3451576.902040334</v>
      </c>
      <c r="Q73" s="413"/>
      <c r="R73" s="274"/>
      <c r="S73" s="428"/>
      <c r="T73" s="286"/>
      <c r="U73" s="286"/>
      <c r="V73" s="285"/>
      <c r="W73" s="427"/>
    </row>
    <row r="74" spans="1:23" x14ac:dyDescent="0.15">
      <c r="A74" s="398"/>
      <c r="B74" s="272">
        <v>60</v>
      </c>
      <c r="C74" s="278">
        <f t="shared" si="6"/>
        <v>47118</v>
      </c>
      <c r="D74" s="280">
        <f t="shared" si="7"/>
        <v>0</v>
      </c>
      <c r="E74" s="280">
        <f t="shared" si="0"/>
        <v>0</v>
      </c>
      <c r="F74" s="280">
        <f t="shared" si="1"/>
        <v>0</v>
      </c>
      <c r="G74" s="404">
        <f t="shared" si="2"/>
        <v>0</v>
      </c>
      <c r="H74" s="281"/>
      <c r="I74" s="413"/>
      <c r="J74" s="274">
        <v>60</v>
      </c>
      <c r="K74" s="428">
        <f t="shared" si="8"/>
        <v>47118</v>
      </c>
      <c r="L74" s="286">
        <f t="shared" si="9"/>
        <v>3451576.902040334</v>
      </c>
      <c r="M74" s="286">
        <f t="shared" si="3"/>
        <v>18696.041552718478</v>
      </c>
      <c r="N74" s="285">
        <f t="shared" si="4"/>
        <v>4578.3395924796059</v>
      </c>
      <c r="O74" s="427">
        <f t="shared" si="5"/>
        <v>3446998.5624478543</v>
      </c>
      <c r="Q74" s="413"/>
      <c r="R74" s="274"/>
      <c r="S74" s="428"/>
      <c r="T74" s="286"/>
      <c r="U74" s="286"/>
      <c r="V74" s="285"/>
      <c r="W74" s="427"/>
    </row>
    <row r="75" spans="1:23" x14ac:dyDescent="0.15">
      <c r="A75" s="398"/>
      <c r="B75" s="272">
        <v>61</v>
      </c>
      <c r="C75" s="278">
        <f t="shared" si="6"/>
        <v>47149</v>
      </c>
      <c r="D75" s="280">
        <f t="shared" si="7"/>
        <v>0</v>
      </c>
      <c r="E75" s="280">
        <f t="shared" si="0"/>
        <v>0</v>
      </c>
      <c r="F75" s="280">
        <f t="shared" si="1"/>
        <v>0</v>
      </c>
      <c r="G75" s="404">
        <f t="shared" si="2"/>
        <v>0</v>
      </c>
      <c r="H75" s="281"/>
      <c r="I75" s="413"/>
      <c r="J75" s="274">
        <v>61</v>
      </c>
      <c r="K75" s="428">
        <f t="shared" si="8"/>
        <v>47149</v>
      </c>
      <c r="L75" s="286">
        <f t="shared" si="9"/>
        <v>3446998.5624478543</v>
      </c>
      <c r="M75" s="286">
        <f t="shared" si="3"/>
        <v>18671.242213259211</v>
      </c>
      <c r="N75" s="285">
        <f t="shared" si="4"/>
        <v>4603.1389319388727</v>
      </c>
      <c r="O75" s="427">
        <f t="shared" si="5"/>
        <v>3442395.4235159154</v>
      </c>
      <c r="Q75" s="413"/>
      <c r="R75" s="274"/>
      <c r="S75" s="428"/>
      <c r="T75" s="286"/>
      <c r="U75" s="286"/>
      <c r="V75" s="285"/>
      <c r="W75" s="427"/>
    </row>
    <row r="76" spans="1:23" x14ac:dyDescent="0.15">
      <c r="A76" s="398"/>
      <c r="B76" s="272">
        <v>62</v>
      </c>
      <c r="C76" s="278">
        <f t="shared" si="6"/>
        <v>47177</v>
      </c>
      <c r="D76" s="280">
        <f t="shared" si="7"/>
        <v>0</v>
      </c>
      <c r="E76" s="280">
        <f t="shared" si="0"/>
        <v>0</v>
      </c>
      <c r="F76" s="280">
        <f t="shared" si="1"/>
        <v>0</v>
      </c>
      <c r="G76" s="404">
        <f t="shared" si="2"/>
        <v>0</v>
      </c>
      <c r="H76" s="281"/>
      <c r="I76" s="413"/>
      <c r="J76" s="274">
        <v>62</v>
      </c>
      <c r="K76" s="428">
        <f t="shared" si="8"/>
        <v>47177</v>
      </c>
      <c r="L76" s="286">
        <f t="shared" si="9"/>
        <v>3442395.4235159154</v>
      </c>
      <c r="M76" s="286">
        <f t="shared" si="3"/>
        <v>18646.308544044543</v>
      </c>
      <c r="N76" s="285">
        <f t="shared" si="4"/>
        <v>4628.0726011535407</v>
      </c>
      <c r="O76" s="427">
        <f t="shared" si="5"/>
        <v>3437767.3509147619</v>
      </c>
      <c r="Q76" s="413"/>
      <c r="R76" s="274"/>
      <c r="S76" s="428"/>
      <c r="T76" s="286"/>
      <c r="U76" s="286"/>
      <c r="V76" s="285"/>
      <c r="W76" s="427"/>
    </row>
    <row r="77" spans="1:23" x14ac:dyDescent="0.15">
      <c r="A77" s="398"/>
      <c r="B77" s="272">
        <v>63</v>
      </c>
      <c r="C77" s="278">
        <f t="shared" si="6"/>
        <v>47208</v>
      </c>
      <c r="D77" s="280">
        <f t="shared" si="7"/>
        <v>0</v>
      </c>
      <c r="E77" s="280">
        <f t="shared" si="0"/>
        <v>0</v>
      </c>
      <c r="F77" s="280">
        <f t="shared" si="1"/>
        <v>0</v>
      </c>
      <c r="G77" s="404">
        <f t="shared" si="2"/>
        <v>0</v>
      </c>
      <c r="H77" s="281"/>
      <c r="I77" s="413"/>
      <c r="J77" s="274">
        <v>63</v>
      </c>
      <c r="K77" s="428">
        <f t="shared" si="8"/>
        <v>47208</v>
      </c>
      <c r="L77" s="286">
        <f t="shared" si="9"/>
        <v>3437767.3509147619</v>
      </c>
      <c r="M77" s="286">
        <f t="shared" si="3"/>
        <v>18621.23981745496</v>
      </c>
      <c r="N77" s="285">
        <f t="shared" si="4"/>
        <v>4653.1413277431238</v>
      </c>
      <c r="O77" s="427">
        <f t="shared" si="5"/>
        <v>3433114.2095870189</v>
      </c>
      <c r="Q77" s="413"/>
      <c r="R77" s="274"/>
      <c r="S77" s="428"/>
      <c r="T77" s="286"/>
      <c r="U77" s="286"/>
      <c r="V77" s="285"/>
      <c r="W77" s="427"/>
    </row>
    <row r="78" spans="1:23" x14ac:dyDescent="0.15">
      <c r="A78" s="398"/>
      <c r="B78" s="272">
        <v>64</v>
      </c>
      <c r="C78" s="278">
        <f t="shared" si="6"/>
        <v>47238</v>
      </c>
      <c r="D78" s="280">
        <f t="shared" si="7"/>
        <v>0</v>
      </c>
      <c r="E78" s="280">
        <f t="shared" si="0"/>
        <v>0</v>
      </c>
      <c r="F78" s="280">
        <f t="shared" si="1"/>
        <v>0</v>
      </c>
      <c r="G78" s="404">
        <f t="shared" si="2"/>
        <v>0</v>
      </c>
      <c r="H78" s="281"/>
      <c r="I78" s="413"/>
      <c r="J78" s="274">
        <v>64</v>
      </c>
      <c r="K78" s="428">
        <f t="shared" si="8"/>
        <v>47238</v>
      </c>
      <c r="L78" s="286">
        <f t="shared" si="9"/>
        <v>3433114.2095870189</v>
      </c>
      <c r="M78" s="286">
        <f t="shared" si="3"/>
        <v>18596.035301929685</v>
      </c>
      <c r="N78" s="285">
        <f t="shared" si="4"/>
        <v>4678.3458432683983</v>
      </c>
      <c r="O78" s="427">
        <f t="shared" si="5"/>
        <v>3428435.8637437504</v>
      </c>
      <c r="Q78" s="413"/>
      <c r="R78" s="274"/>
      <c r="S78" s="428"/>
      <c r="T78" s="286"/>
      <c r="U78" s="286"/>
      <c r="V78" s="285"/>
      <c r="W78" s="427"/>
    </row>
    <row r="79" spans="1:23" x14ac:dyDescent="0.15">
      <c r="A79" s="398"/>
      <c r="B79" s="272">
        <v>65</v>
      </c>
      <c r="C79" s="278">
        <f t="shared" si="6"/>
        <v>47269</v>
      </c>
      <c r="D79" s="280">
        <f t="shared" si="7"/>
        <v>0</v>
      </c>
      <c r="E79" s="280">
        <f t="shared" si="0"/>
        <v>0</v>
      </c>
      <c r="F79" s="280">
        <f t="shared" si="1"/>
        <v>0</v>
      </c>
      <c r="G79" s="404">
        <f t="shared" si="2"/>
        <v>0</v>
      </c>
      <c r="H79" s="281"/>
      <c r="I79" s="413"/>
      <c r="J79" s="274">
        <v>65</v>
      </c>
      <c r="K79" s="428">
        <f t="shared" si="8"/>
        <v>47269</v>
      </c>
      <c r="L79" s="286">
        <f t="shared" si="9"/>
        <v>3428435.8637437504</v>
      </c>
      <c r="M79" s="286">
        <f t="shared" si="3"/>
        <v>18570.694261945315</v>
      </c>
      <c r="N79" s="285">
        <f t="shared" si="4"/>
        <v>4703.6868832527689</v>
      </c>
      <c r="O79" s="427">
        <f t="shared" si="5"/>
        <v>3423732.1768604978</v>
      </c>
      <c r="Q79" s="413"/>
      <c r="R79" s="274"/>
      <c r="S79" s="428"/>
      <c r="T79" s="286"/>
      <c r="U79" s="286"/>
      <c r="V79" s="285"/>
      <c r="W79" s="427"/>
    </row>
    <row r="80" spans="1:23" x14ac:dyDescent="0.15">
      <c r="A80" s="398"/>
      <c r="B80" s="272">
        <v>66</v>
      </c>
      <c r="C80" s="278">
        <f t="shared" si="6"/>
        <v>47299</v>
      </c>
      <c r="D80" s="280">
        <f t="shared" si="7"/>
        <v>0</v>
      </c>
      <c r="E80" s="280">
        <f t="shared" ref="E80:E143" si="10">(D80*$F$9)/12</f>
        <v>0</v>
      </c>
      <c r="F80" s="280">
        <f t="shared" ref="F80:F143" si="11">IF($F$10=0,0,IF(B80&gt;$F$6,0,-$F$11-E80))</f>
        <v>0</v>
      </c>
      <c r="G80" s="404">
        <f t="shared" ref="G80:G143" si="12">IF(B80&gt;$F$6,0,D80-F80)</f>
        <v>0</v>
      </c>
      <c r="H80" s="281"/>
      <c r="I80" s="413"/>
      <c r="J80" s="274">
        <v>66</v>
      </c>
      <c r="K80" s="428">
        <f t="shared" si="8"/>
        <v>47299</v>
      </c>
      <c r="L80" s="286">
        <f t="shared" si="9"/>
        <v>3423732.1768604978</v>
      </c>
      <c r="M80" s="286">
        <f t="shared" ref="M80:M143" si="13">IF(K80&gt;$N$7,0,(L80*$N$9)/12)</f>
        <v>18545.215957994365</v>
      </c>
      <c r="N80" s="285">
        <f t="shared" ref="N80:N143" si="14">IF(K80&gt;$N$7,0,-$N$11-M80)</f>
        <v>4729.1651872037182</v>
      </c>
      <c r="O80" s="427">
        <f t="shared" ref="O80:O143" si="15">IF(J80&gt;$N$6,0,L80-N80)</f>
        <v>3419003.011673294</v>
      </c>
      <c r="Q80" s="413"/>
      <c r="R80" s="274"/>
      <c r="S80" s="428"/>
      <c r="T80" s="286"/>
      <c r="U80" s="286"/>
      <c r="V80" s="285"/>
      <c r="W80" s="427"/>
    </row>
    <row r="81" spans="1:23" x14ac:dyDescent="0.15">
      <c r="A81" s="398"/>
      <c r="B81" s="272">
        <v>67</v>
      </c>
      <c r="C81" s="278">
        <f t="shared" ref="C81:C144" si="16">EOMONTH(C80,1)</f>
        <v>47330</v>
      </c>
      <c r="D81" s="280">
        <f t="shared" ref="D81:D144" si="17">IF(B81&gt;$F$6,0,G80)</f>
        <v>0</v>
      </c>
      <c r="E81" s="280">
        <f t="shared" si="10"/>
        <v>0</v>
      </c>
      <c r="F81" s="280">
        <f t="shared" si="11"/>
        <v>0</v>
      </c>
      <c r="G81" s="404">
        <f t="shared" si="12"/>
        <v>0</v>
      </c>
      <c r="H81" s="281"/>
      <c r="I81" s="413"/>
      <c r="J81" s="274">
        <v>67</v>
      </c>
      <c r="K81" s="428">
        <f t="shared" ref="K81:K144" si="18">EDATE(K80+1,1)-1</f>
        <v>47330</v>
      </c>
      <c r="L81" s="286">
        <f t="shared" ref="L81:L144" si="19">IF(J81&gt;$N$6,0,O80)</f>
        <v>3419003.011673294</v>
      </c>
      <c r="M81" s="286">
        <f t="shared" si="13"/>
        <v>18519.599646563674</v>
      </c>
      <c r="N81" s="285">
        <f t="shared" si="14"/>
        <v>4754.7814986344092</v>
      </c>
      <c r="O81" s="427">
        <f t="shared" si="15"/>
        <v>3414248.2301746598</v>
      </c>
      <c r="Q81" s="413"/>
      <c r="R81" s="274"/>
      <c r="S81" s="428"/>
      <c r="T81" s="286"/>
      <c r="U81" s="286"/>
      <c r="V81" s="285"/>
      <c r="W81" s="427"/>
    </row>
    <row r="82" spans="1:23" x14ac:dyDescent="0.15">
      <c r="A82" s="398"/>
      <c r="B82" s="272">
        <v>68</v>
      </c>
      <c r="C82" s="278">
        <f t="shared" si="16"/>
        <v>47361</v>
      </c>
      <c r="D82" s="280">
        <f t="shared" si="17"/>
        <v>0</v>
      </c>
      <c r="E82" s="280">
        <f t="shared" si="10"/>
        <v>0</v>
      </c>
      <c r="F82" s="280">
        <f t="shared" si="11"/>
        <v>0</v>
      </c>
      <c r="G82" s="404">
        <f t="shared" si="12"/>
        <v>0</v>
      </c>
      <c r="H82" s="281"/>
      <c r="I82" s="413"/>
      <c r="J82" s="274">
        <v>68</v>
      </c>
      <c r="K82" s="428">
        <f t="shared" si="18"/>
        <v>47361</v>
      </c>
      <c r="L82" s="286">
        <f t="shared" si="19"/>
        <v>3414248.2301746598</v>
      </c>
      <c r="M82" s="286">
        <f t="shared" si="13"/>
        <v>18493.844580112742</v>
      </c>
      <c r="N82" s="285">
        <f t="shared" si="14"/>
        <v>4780.5365650853419</v>
      </c>
      <c r="O82" s="427">
        <f t="shared" si="15"/>
        <v>3409467.6936095743</v>
      </c>
      <c r="Q82" s="413"/>
      <c r="R82" s="274"/>
      <c r="S82" s="428"/>
      <c r="T82" s="286"/>
      <c r="U82" s="286"/>
      <c r="V82" s="285"/>
      <c r="W82" s="427"/>
    </row>
    <row r="83" spans="1:23" x14ac:dyDescent="0.15">
      <c r="A83" s="398"/>
      <c r="B83" s="272">
        <v>69</v>
      </c>
      <c r="C83" s="278">
        <f t="shared" si="16"/>
        <v>47391</v>
      </c>
      <c r="D83" s="280">
        <f t="shared" si="17"/>
        <v>0</v>
      </c>
      <c r="E83" s="280">
        <f t="shared" si="10"/>
        <v>0</v>
      </c>
      <c r="F83" s="280">
        <f t="shared" si="11"/>
        <v>0</v>
      </c>
      <c r="G83" s="404">
        <f t="shared" si="12"/>
        <v>0</v>
      </c>
      <c r="H83" s="281"/>
      <c r="I83" s="413"/>
      <c r="J83" s="274">
        <v>69</v>
      </c>
      <c r="K83" s="428">
        <f t="shared" si="18"/>
        <v>47391</v>
      </c>
      <c r="L83" s="286">
        <f t="shared" si="19"/>
        <v>3409467.6936095743</v>
      </c>
      <c r="M83" s="286">
        <f t="shared" si="13"/>
        <v>18467.950007051862</v>
      </c>
      <c r="N83" s="285">
        <f t="shared" si="14"/>
        <v>4806.4311381462212</v>
      </c>
      <c r="O83" s="427">
        <f t="shared" si="15"/>
        <v>3404661.2624714281</v>
      </c>
      <c r="Q83" s="413"/>
      <c r="R83" s="274"/>
      <c r="S83" s="428"/>
      <c r="T83" s="286"/>
      <c r="U83" s="286"/>
      <c r="V83" s="285"/>
      <c r="W83" s="427"/>
    </row>
    <row r="84" spans="1:23" x14ac:dyDescent="0.15">
      <c r="A84" s="398"/>
      <c r="B84" s="272">
        <v>70</v>
      </c>
      <c r="C84" s="278">
        <f t="shared" si="16"/>
        <v>47422</v>
      </c>
      <c r="D84" s="280">
        <f t="shared" si="17"/>
        <v>0</v>
      </c>
      <c r="E84" s="280">
        <f t="shared" si="10"/>
        <v>0</v>
      </c>
      <c r="F84" s="280">
        <f t="shared" si="11"/>
        <v>0</v>
      </c>
      <c r="G84" s="404">
        <f t="shared" si="12"/>
        <v>0</v>
      </c>
      <c r="H84" s="281"/>
      <c r="I84" s="413"/>
      <c r="J84" s="274">
        <v>70</v>
      </c>
      <c r="K84" s="428">
        <f t="shared" si="18"/>
        <v>47422</v>
      </c>
      <c r="L84" s="286">
        <f t="shared" si="19"/>
        <v>3404661.2624714281</v>
      </c>
      <c r="M84" s="286">
        <f t="shared" si="13"/>
        <v>18441.915171720237</v>
      </c>
      <c r="N84" s="285">
        <f t="shared" si="14"/>
        <v>4832.465973477847</v>
      </c>
      <c r="O84" s="427">
        <f t="shared" si="15"/>
        <v>3399828.7964979503</v>
      </c>
      <c r="Q84" s="413"/>
      <c r="R84" s="274"/>
      <c r="S84" s="428"/>
      <c r="T84" s="286"/>
      <c r="U84" s="286"/>
      <c r="V84" s="285"/>
      <c r="W84" s="427"/>
    </row>
    <row r="85" spans="1:23" x14ac:dyDescent="0.15">
      <c r="A85" s="398"/>
      <c r="B85" s="272">
        <v>71</v>
      </c>
      <c r="C85" s="278">
        <f t="shared" si="16"/>
        <v>47452</v>
      </c>
      <c r="D85" s="280">
        <f t="shared" si="17"/>
        <v>0</v>
      </c>
      <c r="E85" s="280">
        <f t="shared" si="10"/>
        <v>0</v>
      </c>
      <c r="F85" s="280">
        <f t="shared" si="11"/>
        <v>0</v>
      </c>
      <c r="G85" s="404">
        <f t="shared" si="12"/>
        <v>0</v>
      </c>
      <c r="H85" s="281"/>
      <c r="I85" s="413"/>
      <c r="J85" s="274">
        <v>71</v>
      </c>
      <c r="K85" s="428">
        <f t="shared" si="18"/>
        <v>47452</v>
      </c>
      <c r="L85" s="286">
        <f t="shared" si="19"/>
        <v>3399828.7964979503</v>
      </c>
      <c r="M85" s="286">
        <f t="shared" si="13"/>
        <v>18415.739314363898</v>
      </c>
      <c r="N85" s="285">
        <f t="shared" si="14"/>
        <v>4858.6418308341854</v>
      </c>
      <c r="O85" s="427">
        <f t="shared" si="15"/>
        <v>3394970.1546671162</v>
      </c>
      <c r="Q85" s="413"/>
      <c r="R85" s="274"/>
      <c r="S85" s="428"/>
      <c r="T85" s="286"/>
      <c r="U85" s="286"/>
      <c r="V85" s="285"/>
      <c r="W85" s="427"/>
    </row>
    <row r="86" spans="1:23" x14ac:dyDescent="0.15">
      <c r="A86" s="398"/>
      <c r="B86" s="272">
        <v>72</v>
      </c>
      <c r="C86" s="278">
        <f t="shared" si="16"/>
        <v>47483</v>
      </c>
      <c r="D86" s="280">
        <f t="shared" si="17"/>
        <v>0</v>
      </c>
      <c r="E86" s="280">
        <f t="shared" si="10"/>
        <v>0</v>
      </c>
      <c r="F86" s="280">
        <f t="shared" si="11"/>
        <v>0</v>
      </c>
      <c r="G86" s="404">
        <f t="shared" si="12"/>
        <v>0</v>
      </c>
      <c r="H86" s="281"/>
      <c r="I86" s="413"/>
      <c r="J86" s="274">
        <v>72</v>
      </c>
      <c r="K86" s="428">
        <f t="shared" si="18"/>
        <v>47483</v>
      </c>
      <c r="L86" s="286">
        <f t="shared" si="19"/>
        <v>3394970.1546671162</v>
      </c>
      <c r="M86" s="286">
        <f t="shared" si="13"/>
        <v>18389.421671113549</v>
      </c>
      <c r="N86" s="285">
        <f t="shared" si="14"/>
        <v>4884.959474084535</v>
      </c>
      <c r="O86" s="427">
        <f t="shared" si="15"/>
        <v>3390085.1951930318</v>
      </c>
      <c r="Q86" s="413"/>
      <c r="R86" s="274"/>
      <c r="S86" s="428"/>
      <c r="T86" s="286"/>
      <c r="U86" s="286"/>
      <c r="V86" s="285"/>
      <c r="W86" s="427"/>
    </row>
    <row r="87" spans="1:23" x14ac:dyDescent="0.15">
      <c r="A87" s="398"/>
      <c r="B87" s="272">
        <v>73</v>
      </c>
      <c r="C87" s="278">
        <f t="shared" si="16"/>
        <v>47514</v>
      </c>
      <c r="D87" s="280">
        <f t="shared" si="17"/>
        <v>0</v>
      </c>
      <c r="E87" s="280">
        <f t="shared" si="10"/>
        <v>0</v>
      </c>
      <c r="F87" s="280">
        <f t="shared" si="11"/>
        <v>0</v>
      </c>
      <c r="G87" s="404">
        <f t="shared" si="12"/>
        <v>0</v>
      </c>
      <c r="H87" s="281"/>
      <c r="I87" s="413"/>
      <c r="J87" s="274">
        <v>73</v>
      </c>
      <c r="K87" s="428">
        <f t="shared" si="18"/>
        <v>47514</v>
      </c>
      <c r="L87" s="286">
        <f t="shared" si="19"/>
        <v>3390085.1951930318</v>
      </c>
      <c r="M87" s="286">
        <f t="shared" si="13"/>
        <v>18362.961473962256</v>
      </c>
      <c r="N87" s="285">
        <f t="shared" si="14"/>
        <v>4911.419671235828</v>
      </c>
      <c r="O87" s="427">
        <f t="shared" si="15"/>
        <v>3385173.7755217962</v>
      </c>
      <c r="Q87" s="413"/>
      <c r="R87" s="274"/>
      <c r="S87" s="428"/>
      <c r="T87" s="286"/>
      <c r="U87" s="286"/>
      <c r="V87" s="285"/>
      <c r="W87" s="427"/>
    </row>
    <row r="88" spans="1:23" x14ac:dyDescent="0.15">
      <c r="A88" s="398"/>
      <c r="B88" s="272">
        <v>74</v>
      </c>
      <c r="C88" s="278">
        <f t="shared" si="16"/>
        <v>47542</v>
      </c>
      <c r="D88" s="280">
        <f t="shared" si="17"/>
        <v>0</v>
      </c>
      <c r="E88" s="280">
        <f t="shared" si="10"/>
        <v>0</v>
      </c>
      <c r="F88" s="280">
        <f t="shared" si="11"/>
        <v>0</v>
      </c>
      <c r="G88" s="404">
        <f t="shared" si="12"/>
        <v>0</v>
      </c>
      <c r="H88" s="281"/>
      <c r="I88" s="413"/>
      <c r="J88" s="274">
        <v>74</v>
      </c>
      <c r="K88" s="428">
        <f t="shared" si="18"/>
        <v>47542</v>
      </c>
      <c r="L88" s="286">
        <f t="shared" si="19"/>
        <v>3385173.7755217962</v>
      </c>
      <c r="M88" s="286">
        <f t="shared" si="13"/>
        <v>18336.357950743062</v>
      </c>
      <c r="N88" s="285">
        <f t="shared" si="14"/>
        <v>4938.0231944550214</v>
      </c>
      <c r="O88" s="427">
        <f t="shared" si="15"/>
        <v>3380235.7523273411</v>
      </c>
      <c r="Q88" s="413"/>
      <c r="R88" s="274"/>
      <c r="S88" s="428"/>
      <c r="T88" s="286"/>
      <c r="U88" s="286"/>
      <c r="V88" s="285"/>
      <c r="W88" s="427"/>
    </row>
    <row r="89" spans="1:23" x14ac:dyDescent="0.15">
      <c r="A89" s="398"/>
      <c r="B89" s="272">
        <v>75</v>
      </c>
      <c r="C89" s="278">
        <f t="shared" si="16"/>
        <v>47573</v>
      </c>
      <c r="D89" s="280">
        <f t="shared" si="17"/>
        <v>0</v>
      </c>
      <c r="E89" s="280">
        <f t="shared" si="10"/>
        <v>0</v>
      </c>
      <c r="F89" s="280">
        <f t="shared" si="11"/>
        <v>0</v>
      </c>
      <c r="G89" s="404">
        <f t="shared" si="12"/>
        <v>0</v>
      </c>
      <c r="H89" s="281"/>
      <c r="I89" s="413"/>
      <c r="J89" s="274">
        <v>75</v>
      </c>
      <c r="K89" s="428">
        <f t="shared" si="18"/>
        <v>47573</v>
      </c>
      <c r="L89" s="286">
        <f t="shared" si="19"/>
        <v>3380235.7523273411</v>
      </c>
      <c r="M89" s="286">
        <f t="shared" si="13"/>
        <v>18309.610325106431</v>
      </c>
      <c r="N89" s="285">
        <f t="shared" si="14"/>
        <v>4964.7708200916531</v>
      </c>
      <c r="O89" s="427">
        <f t="shared" si="15"/>
        <v>3375270.9815072496</v>
      </c>
      <c r="Q89" s="413"/>
      <c r="R89" s="274"/>
      <c r="S89" s="428"/>
      <c r="T89" s="286"/>
      <c r="U89" s="286"/>
      <c r="V89" s="285"/>
      <c r="W89" s="427"/>
    </row>
    <row r="90" spans="1:23" x14ac:dyDescent="0.15">
      <c r="A90" s="398"/>
      <c r="B90" s="272">
        <v>76</v>
      </c>
      <c r="C90" s="278">
        <f t="shared" si="16"/>
        <v>47603</v>
      </c>
      <c r="D90" s="280">
        <f t="shared" si="17"/>
        <v>0</v>
      </c>
      <c r="E90" s="280">
        <f t="shared" si="10"/>
        <v>0</v>
      </c>
      <c r="F90" s="280">
        <f t="shared" si="11"/>
        <v>0</v>
      </c>
      <c r="G90" s="404">
        <f t="shared" si="12"/>
        <v>0</v>
      </c>
      <c r="H90" s="281"/>
      <c r="I90" s="413"/>
      <c r="J90" s="274">
        <v>76</v>
      </c>
      <c r="K90" s="428">
        <f t="shared" si="18"/>
        <v>47603</v>
      </c>
      <c r="L90" s="286">
        <f t="shared" si="19"/>
        <v>3375270.9815072496</v>
      </c>
      <c r="M90" s="286">
        <f t="shared" si="13"/>
        <v>18282.717816497603</v>
      </c>
      <c r="N90" s="285">
        <f t="shared" si="14"/>
        <v>4991.6633287004806</v>
      </c>
      <c r="O90" s="427">
        <f t="shared" si="15"/>
        <v>3370279.3181785489</v>
      </c>
      <c r="Q90" s="413"/>
      <c r="R90" s="274"/>
      <c r="S90" s="428"/>
      <c r="T90" s="286"/>
      <c r="U90" s="286"/>
      <c r="V90" s="285"/>
      <c r="W90" s="427"/>
    </row>
    <row r="91" spans="1:23" x14ac:dyDescent="0.15">
      <c r="A91" s="398"/>
      <c r="B91" s="272">
        <v>77</v>
      </c>
      <c r="C91" s="278">
        <f t="shared" si="16"/>
        <v>47634</v>
      </c>
      <c r="D91" s="280">
        <f t="shared" si="17"/>
        <v>0</v>
      </c>
      <c r="E91" s="280">
        <f t="shared" si="10"/>
        <v>0</v>
      </c>
      <c r="F91" s="280">
        <f t="shared" si="11"/>
        <v>0</v>
      </c>
      <c r="G91" s="404">
        <f t="shared" si="12"/>
        <v>0</v>
      </c>
      <c r="H91" s="281"/>
      <c r="I91" s="413"/>
      <c r="J91" s="274">
        <v>77</v>
      </c>
      <c r="K91" s="428">
        <f t="shared" si="18"/>
        <v>47634</v>
      </c>
      <c r="L91" s="286">
        <f t="shared" si="19"/>
        <v>3370279.3181785489</v>
      </c>
      <c r="M91" s="286">
        <f t="shared" si="13"/>
        <v>18255.679640133807</v>
      </c>
      <c r="N91" s="285">
        <f t="shared" si="14"/>
        <v>5018.7015050642767</v>
      </c>
      <c r="O91" s="427">
        <f t="shared" si="15"/>
        <v>3365260.6166734844</v>
      </c>
      <c r="Q91" s="413"/>
      <c r="R91" s="274"/>
      <c r="S91" s="428"/>
      <c r="T91" s="286"/>
      <c r="U91" s="286"/>
      <c r="V91" s="285"/>
      <c r="W91" s="427"/>
    </row>
    <row r="92" spans="1:23" x14ac:dyDescent="0.15">
      <c r="A92" s="398"/>
      <c r="B92" s="272">
        <v>78</v>
      </c>
      <c r="C92" s="278">
        <f t="shared" si="16"/>
        <v>47664</v>
      </c>
      <c r="D92" s="280">
        <f t="shared" si="17"/>
        <v>0</v>
      </c>
      <c r="E92" s="280">
        <f t="shared" si="10"/>
        <v>0</v>
      </c>
      <c r="F92" s="280">
        <f t="shared" si="11"/>
        <v>0</v>
      </c>
      <c r="G92" s="404">
        <f t="shared" si="12"/>
        <v>0</v>
      </c>
      <c r="H92" s="281"/>
      <c r="I92" s="413"/>
      <c r="J92" s="274">
        <v>78</v>
      </c>
      <c r="K92" s="428">
        <f t="shared" si="18"/>
        <v>47664</v>
      </c>
      <c r="L92" s="286">
        <f t="shared" si="19"/>
        <v>3365260.6166734844</v>
      </c>
      <c r="M92" s="286">
        <f t="shared" si="13"/>
        <v>18228.495006981375</v>
      </c>
      <c r="N92" s="285">
        <f t="shared" si="14"/>
        <v>5045.8861382167088</v>
      </c>
      <c r="O92" s="427">
        <f t="shared" si="15"/>
        <v>3360214.7305352679</v>
      </c>
      <c r="Q92" s="413"/>
      <c r="R92" s="274"/>
      <c r="S92" s="428"/>
      <c r="T92" s="286"/>
      <c r="U92" s="286"/>
      <c r="V92" s="285"/>
      <c r="W92" s="427"/>
    </row>
    <row r="93" spans="1:23" x14ac:dyDescent="0.15">
      <c r="A93" s="398"/>
      <c r="B93" s="272">
        <v>79</v>
      </c>
      <c r="C93" s="278">
        <f t="shared" si="16"/>
        <v>47695</v>
      </c>
      <c r="D93" s="280">
        <f t="shared" si="17"/>
        <v>0</v>
      </c>
      <c r="E93" s="280">
        <f t="shared" si="10"/>
        <v>0</v>
      </c>
      <c r="F93" s="280">
        <f t="shared" si="11"/>
        <v>0</v>
      </c>
      <c r="G93" s="404">
        <f t="shared" si="12"/>
        <v>0</v>
      </c>
      <c r="H93" s="281"/>
      <c r="I93" s="413"/>
      <c r="J93" s="274">
        <v>79</v>
      </c>
      <c r="K93" s="428">
        <f t="shared" si="18"/>
        <v>47695</v>
      </c>
      <c r="L93" s="286">
        <f t="shared" si="19"/>
        <v>3360214.7305352679</v>
      </c>
      <c r="M93" s="286">
        <f t="shared" si="13"/>
        <v>18201.163123732702</v>
      </c>
      <c r="N93" s="285">
        <f t="shared" si="14"/>
        <v>5073.2180214653818</v>
      </c>
      <c r="O93" s="427">
        <f t="shared" si="15"/>
        <v>3355141.5125138024</v>
      </c>
      <c r="Q93" s="413"/>
      <c r="R93" s="274"/>
      <c r="S93" s="428"/>
      <c r="T93" s="286"/>
      <c r="U93" s="286"/>
      <c r="V93" s="285"/>
      <c r="W93" s="427"/>
    </row>
    <row r="94" spans="1:23" x14ac:dyDescent="0.15">
      <c r="A94" s="398"/>
      <c r="B94" s="272">
        <v>80</v>
      </c>
      <c r="C94" s="278">
        <f t="shared" si="16"/>
        <v>47726</v>
      </c>
      <c r="D94" s="280">
        <f t="shared" si="17"/>
        <v>0</v>
      </c>
      <c r="E94" s="280">
        <f t="shared" si="10"/>
        <v>0</v>
      </c>
      <c r="F94" s="280">
        <f t="shared" si="11"/>
        <v>0</v>
      </c>
      <c r="G94" s="404">
        <f t="shared" si="12"/>
        <v>0</v>
      </c>
      <c r="H94" s="281"/>
      <c r="I94" s="413"/>
      <c r="J94" s="274">
        <v>80</v>
      </c>
      <c r="K94" s="428">
        <f t="shared" si="18"/>
        <v>47726</v>
      </c>
      <c r="L94" s="286">
        <f t="shared" si="19"/>
        <v>3355141.5125138024</v>
      </c>
      <c r="M94" s="286">
        <f t="shared" si="13"/>
        <v>18173.683192783097</v>
      </c>
      <c r="N94" s="285">
        <f t="shared" si="14"/>
        <v>5100.6979524149865</v>
      </c>
      <c r="O94" s="427">
        <f t="shared" si="15"/>
        <v>3350040.8145613875</v>
      </c>
      <c r="Q94" s="413"/>
      <c r="R94" s="274"/>
      <c r="S94" s="428"/>
      <c r="T94" s="286"/>
      <c r="U94" s="286"/>
      <c r="V94" s="285"/>
      <c r="W94" s="427"/>
    </row>
    <row r="95" spans="1:23" x14ac:dyDescent="0.15">
      <c r="A95" s="398"/>
      <c r="B95" s="272">
        <v>81</v>
      </c>
      <c r="C95" s="278">
        <f t="shared" si="16"/>
        <v>47756</v>
      </c>
      <c r="D95" s="280">
        <f t="shared" si="17"/>
        <v>0</v>
      </c>
      <c r="E95" s="280">
        <f t="shared" si="10"/>
        <v>0</v>
      </c>
      <c r="F95" s="280">
        <f t="shared" si="11"/>
        <v>0</v>
      </c>
      <c r="G95" s="404">
        <f t="shared" si="12"/>
        <v>0</v>
      </c>
      <c r="H95" s="281"/>
      <c r="I95" s="413"/>
      <c r="J95" s="274">
        <v>81</v>
      </c>
      <c r="K95" s="428">
        <f t="shared" si="18"/>
        <v>47756</v>
      </c>
      <c r="L95" s="286">
        <f t="shared" si="19"/>
        <v>3350040.8145613875</v>
      </c>
      <c r="M95" s="286">
        <f t="shared" si="13"/>
        <v>18146.054412207515</v>
      </c>
      <c r="N95" s="285">
        <f t="shared" si="14"/>
        <v>5128.3267329905684</v>
      </c>
      <c r="O95" s="427">
        <f t="shared" si="15"/>
        <v>3344912.4878283967</v>
      </c>
      <c r="Q95" s="413"/>
      <c r="R95" s="274"/>
      <c r="S95" s="428"/>
      <c r="T95" s="286"/>
      <c r="U95" s="286"/>
      <c r="V95" s="285"/>
      <c r="W95" s="427"/>
    </row>
    <row r="96" spans="1:23" x14ac:dyDescent="0.15">
      <c r="A96" s="398"/>
      <c r="B96" s="272">
        <v>82</v>
      </c>
      <c r="C96" s="278">
        <f t="shared" si="16"/>
        <v>47787</v>
      </c>
      <c r="D96" s="280">
        <f t="shared" si="17"/>
        <v>0</v>
      </c>
      <c r="E96" s="280">
        <f t="shared" si="10"/>
        <v>0</v>
      </c>
      <c r="F96" s="280">
        <f t="shared" si="11"/>
        <v>0</v>
      </c>
      <c r="G96" s="404">
        <f t="shared" si="12"/>
        <v>0</v>
      </c>
      <c r="H96" s="281"/>
      <c r="I96" s="413"/>
      <c r="J96" s="274">
        <v>82</v>
      </c>
      <c r="K96" s="428">
        <f t="shared" si="18"/>
        <v>47787</v>
      </c>
      <c r="L96" s="286">
        <f t="shared" si="19"/>
        <v>3344912.4878283967</v>
      </c>
      <c r="M96" s="286">
        <f t="shared" si="13"/>
        <v>18118.27597573715</v>
      </c>
      <c r="N96" s="285">
        <f t="shared" si="14"/>
        <v>5156.1051694609341</v>
      </c>
      <c r="O96" s="427">
        <f t="shared" si="15"/>
        <v>3339756.3826589356</v>
      </c>
      <c r="Q96" s="413"/>
      <c r="R96" s="274"/>
      <c r="S96" s="428"/>
      <c r="T96" s="286"/>
      <c r="U96" s="286"/>
      <c r="V96" s="285"/>
      <c r="W96" s="427"/>
    </row>
    <row r="97" spans="1:23" x14ac:dyDescent="0.15">
      <c r="A97" s="398"/>
      <c r="B97" s="272">
        <v>83</v>
      </c>
      <c r="C97" s="278">
        <f t="shared" si="16"/>
        <v>47817</v>
      </c>
      <c r="D97" s="280">
        <f t="shared" si="17"/>
        <v>0</v>
      </c>
      <c r="E97" s="280">
        <f t="shared" si="10"/>
        <v>0</v>
      </c>
      <c r="F97" s="280">
        <f t="shared" si="11"/>
        <v>0</v>
      </c>
      <c r="G97" s="404">
        <f t="shared" si="12"/>
        <v>0</v>
      </c>
      <c r="H97" s="281"/>
      <c r="I97" s="413"/>
      <c r="J97" s="274">
        <v>83</v>
      </c>
      <c r="K97" s="428">
        <f t="shared" si="18"/>
        <v>47817</v>
      </c>
      <c r="L97" s="286">
        <f t="shared" si="19"/>
        <v>3339756.3826589356</v>
      </c>
      <c r="M97" s="286">
        <f t="shared" si="13"/>
        <v>18090.347072735902</v>
      </c>
      <c r="N97" s="285">
        <f t="shared" si="14"/>
        <v>5184.0340724621819</v>
      </c>
      <c r="O97" s="427">
        <f t="shared" si="15"/>
        <v>3334572.3485864736</v>
      </c>
      <c r="Q97" s="413"/>
      <c r="R97" s="274"/>
      <c r="S97" s="428"/>
      <c r="T97" s="286"/>
      <c r="U97" s="286"/>
      <c r="V97" s="285"/>
      <c r="W97" s="427"/>
    </row>
    <row r="98" spans="1:23" x14ac:dyDescent="0.15">
      <c r="A98" s="398"/>
      <c r="B98" s="272">
        <v>84</v>
      </c>
      <c r="C98" s="278">
        <f t="shared" si="16"/>
        <v>47848</v>
      </c>
      <c r="D98" s="280">
        <f t="shared" si="17"/>
        <v>0</v>
      </c>
      <c r="E98" s="280">
        <f t="shared" si="10"/>
        <v>0</v>
      </c>
      <c r="F98" s="280">
        <f t="shared" si="11"/>
        <v>0</v>
      </c>
      <c r="G98" s="404">
        <f t="shared" si="12"/>
        <v>0</v>
      </c>
      <c r="H98" s="281"/>
      <c r="I98" s="413"/>
      <c r="J98" s="274">
        <v>84</v>
      </c>
      <c r="K98" s="428">
        <f t="shared" si="18"/>
        <v>47848</v>
      </c>
      <c r="L98" s="286">
        <f t="shared" si="19"/>
        <v>3334572.3485864736</v>
      </c>
      <c r="M98" s="286">
        <f t="shared" si="13"/>
        <v>18062.266888176735</v>
      </c>
      <c r="N98" s="285">
        <f t="shared" si="14"/>
        <v>5212.1142570213487</v>
      </c>
      <c r="O98" s="427">
        <f t="shared" si="15"/>
        <v>3329360.2343294523</v>
      </c>
      <c r="Q98" s="413"/>
      <c r="R98" s="274"/>
      <c r="S98" s="428"/>
      <c r="T98" s="286"/>
      <c r="U98" s="286"/>
      <c r="V98" s="285"/>
      <c r="W98" s="427"/>
    </row>
    <row r="99" spans="1:23" x14ac:dyDescent="0.15">
      <c r="A99" s="398"/>
      <c r="B99" s="272">
        <v>85</v>
      </c>
      <c r="C99" s="278">
        <f t="shared" si="16"/>
        <v>47879</v>
      </c>
      <c r="D99" s="280">
        <f t="shared" si="17"/>
        <v>0</v>
      </c>
      <c r="E99" s="280">
        <f t="shared" si="10"/>
        <v>0</v>
      </c>
      <c r="F99" s="280">
        <f t="shared" si="11"/>
        <v>0</v>
      </c>
      <c r="G99" s="404">
        <f t="shared" si="12"/>
        <v>0</v>
      </c>
      <c r="H99" s="281"/>
      <c r="I99" s="413"/>
      <c r="J99" s="274">
        <v>85</v>
      </c>
      <c r="K99" s="428">
        <f t="shared" si="18"/>
        <v>47879</v>
      </c>
      <c r="L99" s="286">
        <f t="shared" si="19"/>
        <v>3329360.2343294523</v>
      </c>
      <c r="M99" s="286">
        <f t="shared" si="13"/>
        <v>18034.034602617867</v>
      </c>
      <c r="N99" s="285">
        <f t="shared" si="14"/>
        <v>5240.3465425802169</v>
      </c>
      <c r="O99" s="427">
        <f t="shared" si="15"/>
        <v>3324119.8877868722</v>
      </c>
      <c r="Q99" s="413"/>
      <c r="R99" s="274"/>
      <c r="S99" s="428"/>
      <c r="T99" s="286"/>
      <c r="U99" s="286"/>
      <c r="V99" s="285"/>
      <c r="W99" s="427"/>
    </row>
    <row r="100" spans="1:23" x14ac:dyDescent="0.15">
      <c r="A100" s="398"/>
      <c r="B100" s="272">
        <v>86</v>
      </c>
      <c r="C100" s="278">
        <f t="shared" si="16"/>
        <v>47907</v>
      </c>
      <c r="D100" s="280">
        <f t="shared" si="17"/>
        <v>0</v>
      </c>
      <c r="E100" s="280">
        <f t="shared" si="10"/>
        <v>0</v>
      </c>
      <c r="F100" s="280">
        <f t="shared" si="11"/>
        <v>0</v>
      </c>
      <c r="G100" s="404">
        <f t="shared" si="12"/>
        <v>0</v>
      </c>
      <c r="H100" s="281"/>
      <c r="I100" s="413"/>
      <c r="J100" s="274">
        <v>86</v>
      </c>
      <c r="K100" s="428">
        <f t="shared" si="18"/>
        <v>47907</v>
      </c>
      <c r="L100" s="286">
        <f t="shared" si="19"/>
        <v>3324119.8877868722</v>
      </c>
      <c r="M100" s="286">
        <f t="shared" si="13"/>
        <v>18005.64939217889</v>
      </c>
      <c r="N100" s="285">
        <f t="shared" si="14"/>
        <v>5268.731753019194</v>
      </c>
      <c r="O100" s="427">
        <f t="shared" si="15"/>
        <v>3318851.1560338531</v>
      </c>
      <c r="Q100" s="413"/>
      <c r="R100" s="274"/>
      <c r="S100" s="428"/>
      <c r="T100" s="286"/>
      <c r="U100" s="286"/>
      <c r="V100" s="285"/>
      <c r="W100" s="427"/>
    </row>
    <row r="101" spans="1:23" x14ac:dyDescent="0.15">
      <c r="A101" s="398"/>
      <c r="B101" s="272">
        <v>87</v>
      </c>
      <c r="C101" s="278">
        <f t="shared" si="16"/>
        <v>47938</v>
      </c>
      <c r="D101" s="280">
        <f t="shared" si="17"/>
        <v>0</v>
      </c>
      <c r="E101" s="280">
        <f t="shared" si="10"/>
        <v>0</v>
      </c>
      <c r="F101" s="280">
        <f t="shared" si="11"/>
        <v>0</v>
      </c>
      <c r="G101" s="404">
        <f t="shared" si="12"/>
        <v>0</v>
      </c>
      <c r="H101" s="281"/>
      <c r="I101" s="413"/>
      <c r="J101" s="274">
        <v>87</v>
      </c>
      <c r="K101" s="428">
        <f t="shared" si="18"/>
        <v>47938</v>
      </c>
      <c r="L101" s="286">
        <f t="shared" si="19"/>
        <v>3318851.1560338531</v>
      </c>
      <c r="M101" s="286">
        <f t="shared" si="13"/>
        <v>17977.110428516706</v>
      </c>
      <c r="N101" s="285">
        <f t="shared" si="14"/>
        <v>5297.270716681378</v>
      </c>
      <c r="O101" s="427">
        <f t="shared" si="15"/>
        <v>3313553.8853171719</v>
      </c>
      <c r="Q101" s="413"/>
      <c r="R101" s="274"/>
      <c r="S101" s="428"/>
      <c r="T101" s="286"/>
      <c r="U101" s="286"/>
      <c r="V101" s="285"/>
      <c r="W101" s="427"/>
    </row>
    <row r="102" spans="1:23" x14ac:dyDescent="0.15">
      <c r="A102" s="398"/>
      <c r="B102" s="272">
        <v>88</v>
      </c>
      <c r="C102" s="278">
        <f t="shared" si="16"/>
        <v>47968</v>
      </c>
      <c r="D102" s="280">
        <f t="shared" si="17"/>
        <v>0</v>
      </c>
      <c r="E102" s="280">
        <f t="shared" si="10"/>
        <v>0</v>
      </c>
      <c r="F102" s="280">
        <f t="shared" si="11"/>
        <v>0</v>
      </c>
      <c r="G102" s="404">
        <f t="shared" si="12"/>
        <v>0</v>
      </c>
      <c r="H102" s="281"/>
      <c r="I102" s="413"/>
      <c r="J102" s="274">
        <v>88</v>
      </c>
      <c r="K102" s="428">
        <f t="shared" si="18"/>
        <v>47968</v>
      </c>
      <c r="L102" s="286">
        <f t="shared" si="19"/>
        <v>3313553.8853171719</v>
      </c>
      <c r="M102" s="286">
        <f t="shared" si="13"/>
        <v>17948.416878801349</v>
      </c>
      <c r="N102" s="285">
        <f t="shared" si="14"/>
        <v>5325.9642663967352</v>
      </c>
      <c r="O102" s="427">
        <f t="shared" si="15"/>
        <v>3308227.9210507753</v>
      </c>
      <c r="Q102" s="413"/>
      <c r="R102" s="274"/>
      <c r="S102" s="428"/>
      <c r="T102" s="286"/>
      <c r="U102" s="286"/>
      <c r="V102" s="285"/>
      <c r="W102" s="427"/>
    </row>
    <row r="103" spans="1:23" x14ac:dyDescent="0.15">
      <c r="A103" s="398"/>
      <c r="B103" s="272">
        <v>89</v>
      </c>
      <c r="C103" s="278">
        <f t="shared" si="16"/>
        <v>47999</v>
      </c>
      <c r="D103" s="280">
        <f t="shared" si="17"/>
        <v>0</v>
      </c>
      <c r="E103" s="280">
        <f t="shared" si="10"/>
        <v>0</v>
      </c>
      <c r="F103" s="280">
        <f t="shared" si="11"/>
        <v>0</v>
      </c>
      <c r="G103" s="404">
        <f t="shared" si="12"/>
        <v>0</v>
      </c>
      <c r="H103" s="281"/>
      <c r="I103" s="413"/>
      <c r="J103" s="274">
        <v>89</v>
      </c>
      <c r="K103" s="428">
        <f t="shared" si="18"/>
        <v>47999</v>
      </c>
      <c r="L103" s="286">
        <f t="shared" si="19"/>
        <v>3308227.9210507753</v>
      </c>
      <c r="M103" s="286">
        <f t="shared" si="13"/>
        <v>17919.5679056917</v>
      </c>
      <c r="N103" s="285">
        <f t="shared" si="14"/>
        <v>5354.813239506384</v>
      </c>
      <c r="O103" s="427">
        <f t="shared" si="15"/>
        <v>3302873.1078112689</v>
      </c>
      <c r="Q103" s="413"/>
      <c r="R103" s="274"/>
      <c r="S103" s="428"/>
      <c r="T103" s="286"/>
      <c r="U103" s="286"/>
      <c r="V103" s="285"/>
      <c r="W103" s="427"/>
    </row>
    <row r="104" spans="1:23" x14ac:dyDescent="0.15">
      <c r="A104" s="398"/>
      <c r="B104" s="272">
        <v>90</v>
      </c>
      <c r="C104" s="278">
        <f t="shared" si="16"/>
        <v>48029</v>
      </c>
      <c r="D104" s="280">
        <f t="shared" si="17"/>
        <v>0</v>
      </c>
      <c r="E104" s="280">
        <f t="shared" si="10"/>
        <v>0</v>
      </c>
      <c r="F104" s="280">
        <f t="shared" si="11"/>
        <v>0</v>
      </c>
      <c r="G104" s="404">
        <f t="shared" si="12"/>
        <v>0</v>
      </c>
      <c r="H104" s="281"/>
      <c r="I104" s="413"/>
      <c r="J104" s="274">
        <v>90</v>
      </c>
      <c r="K104" s="428">
        <f t="shared" si="18"/>
        <v>48029</v>
      </c>
      <c r="L104" s="286">
        <f t="shared" si="19"/>
        <v>3302873.1078112689</v>
      </c>
      <c r="M104" s="286">
        <f t="shared" si="13"/>
        <v>17890.562667311042</v>
      </c>
      <c r="N104" s="285">
        <f t="shared" si="14"/>
        <v>5383.8184778870418</v>
      </c>
      <c r="O104" s="427">
        <f t="shared" si="15"/>
        <v>3297489.2893333817</v>
      </c>
      <c r="Q104" s="413"/>
      <c r="R104" s="274"/>
      <c r="S104" s="428"/>
      <c r="T104" s="286"/>
      <c r="U104" s="286"/>
      <c r="V104" s="285"/>
      <c r="W104" s="427"/>
    </row>
    <row r="105" spans="1:23" x14ac:dyDescent="0.15">
      <c r="A105" s="398"/>
      <c r="B105" s="272">
        <v>91</v>
      </c>
      <c r="C105" s="278">
        <f t="shared" si="16"/>
        <v>48060</v>
      </c>
      <c r="D105" s="280">
        <f t="shared" si="17"/>
        <v>0</v>
      </c>
      <c r="E105" s="280">
        <f t="shared" si="10"/>
        <v>0</v>
      </c>
      <c r="F105" s="280">
        <f t="shared" si="11"/>
        <v>0</v>
      </c>
      <c r="G105" s="404">
        <f t="shared" si="12"/>
        <v>0</v>
      </c>
      <c r="H105" s="281"/>
      <c r="I105" s="413"/>
      <c r="J105" s="274">
        <v>91</v>
      </c>
      <c r="K105" s="428">
        <f t="shared" si="18"/>
        <v>48060</v>
      </c>
      <c r="L105" s="286">
        <f t="shared" si="19"/>
        <v>3297489.2893333817</v>
      </c>
      <c r="M105" s="286">
        <f t="shared" si="13"/>
        <v>17861.400317222484</v>
      </c>
      <c r="N105" s="285">
        <f t="shared" si="14"/>
        <v>5412.9808279755998</v>
      </c>
      <c r="O105" s="427">
        <f t="shared" si="15"/>
        <v>3292076.3085054061</v>
      </c>
      <c r="Q105" s="413"/>
      <c r="R105" s="274"/>
      <c r="S105" s="428"/>
      <c r="T105" s="286"/>
      <c r="U105" s="286"/>
      <c r="V105" s="285"/>
      <c r="W105" s="427"/>
    </row>
    <row r="106" spans="1:23" x14ac:dyDescent="0.15">
      <c r="A106" s="398"/>
      <c r="B106" s="272">
        <v>92</v>
      </c>
      <c r="C106" s="278">
        <f t="shared" si="16"/>
        <v>48091</v>
      </c>
      <c r="D106" s="280">
        <f t="shared" si="17"/>
        <v>0</v>
      </c>
      <c r="E106" s="280">
        <f t="shared" si="10"/>
        <v>0</v>
      </c>
      <c r="F106" s="280">
        <f t="shared" si="11"/>
        <v>0</v>
      </c>
      <c r="G106" s="404">
        <f t="shared" si="12"/>
        <v>0</v>
      </c>
      <c r="H106" s="281"/>
      <c r="I106" s="413"/>
      <c r="J106" s="274">
        <v>92</v>
      </c>
      <c r="K106" s="428">
        <f t="shared" si="18"/>
        <v>48091</v>
      </c>
      <c r="L106" s="286">
        <f t="shared" si="19"/>
        <v>3292076.3085054061</v>
      </c>
      <c r="M106" s="286">
        <f t="shared" si="13"/>
        <v>17832.080004404284</v>
      </c>
      <c r="N106" s="285">
        <f t="shared" si="14"/>
        <v>5442.3011407937993</v>
      </c>
      <c r="O106" s="427">
        <f t="shared" si="15"/>
        <v>3286634.0073646125</v>
      </c>
      <c r="Q106" s="413"/>
      <c r="R106" s="274"/>
      <c r="S106" s="428"/>
      <c r="T106" s="286"/>
      <c r="U106" s="286"/>
      <c r="V106" s="285"/>
      <c r="W106" s="427"/>
    </row>
    <row r="107" spans="1:23" x14ac:dyDescent="0.15">
      <c r="A107" s="398"/>
      <c r="B107" s="272">
        <v>93</v>
      </c>
      <c r="C107" s="278">
        <f t="shared" si="16"/>
        <v>48121</v>
      </c>
      <c r="D107" s="280">
        <f t="shared" si="17"/>
        <v>0</v>
      </c>
      <c r="E107" s="280">
        <f t="shared" si="10"/>
        <v>0</v>
      </c>
      <c r="F107" s="280">
        <f t="shared" si="11"/>
        <v>0</v>
      </c>
      <c r="G107" s="404">
        <f t="shared" si="12"/>
        <v>0</v>
      </c>
      <c r="H107" s="281"/>
      <c r="I107" s="413"/>
      <c r="J107" s="274">
        <v>93</v>
      </c>
      <c r="K107" s="428">
        <f t="shared" si="18"/>
        <v>48121</v>
      </c>
      <c r="L107" s="286">
        <f t="shared" si="19"/>
        <v>3286634.0073646125</v>
      </c>
      <c r="M107" s="286">
        <f t="shared" si="13"/>
        <v>17802.600873224987</v>
      </c>
      <c r="N107" s="285">
        <f t="shared" si="14"/>
        <v>5471.7802719730971</v>
      </c>
      <c r="O107" s="427">
        <f t="shared" si="15"/>
        <v>3281162.2270926395</v>
      </c>
      <c r="Q107" s="413"/>
      <c r="R107" s="274"/>
      <c r="S107" s="428"/>
      <c r="T107" s="286"/>
      <c r="U107" s="286"/>
      <c r="V107" s="285"/>
      <c r="W107" s="427"/>
    </row>
    <row r="108" spans="1:23" x14ac:dyDescent="0.15">
      <c r="A108" s="398"/>
      <c r="B108" s="272">
        <v>94</v>
      </c>
      <c r="C108" s="278">
        <f t="shared" si="16"/>
        <v>48152</v>
      </c>
      <c r="D108" s="280">
        <f t="shared" si="17"/>
        <v>0</v>
      </c>
      <c r="E108" s="280">
        <f t="shared" si="10"/>
        <v>0</v>
      </c>
      <c r="F108" s="280">
        <f t="shared" si="11"/>
        <v>0</v>
      </c>
      <c r="G108" s="404">
        <f t="shared" si="12"/>
        <v>0</v>
      </c>
      <c r="H108" s="281"/>
      <c r="I108" s="413"/>
      <c r="J108" s="274">
        <v>94</v>
      </c>
      <c r="K108" s="428">
        <f t="shared" si="18"/>
        <v>48152</v>
      </c>
      <c r="L108" s="286">
        <f t="shared" si="19"/>
        <v>3281162.2270926395</v>
      </c>
      <c r="M108" s="286">
        <f t="shared" si="13"/>
        <v>17772.962063418465</v>
      </c>
      <c r="N108" s="285">
        <f t="shared" si="14"/>
        <v>5501.4190817796189</v>
      </c>
      <c r="O108" s="427">
        <f t="shared" si="15"/>
        <v>3275660.8080108599</v>
      </c>
      <c r="Q108" s="413"/>
      <c r="R108" s="274"/>
      <c r="S108" s="428"/>
      <c r="T108" s="286"/>
      <c r="U108" s="286"/>
      <c r="V108" s="285"/>
      <c r="W108" s="427"/>
    </row>
    <row r="109" spans="1:23" x14ac:dyDescent="0.15">
      <c r="A109" s="398"/>
      <c r="B109" s="272">
        <v>95</v>
      </c>
      <c r="C109" s="278">
        <f t="shared" si="16"/>
        <v>48182</v>
      </c>
      <c r="D109" s="280">
        <f t="shared" si="17"/>
        <v>0</v>
      </c>
      <c r="E109" s="280">
        <f t="shared" si="10"/>
        <v>0</v>
      </c>
      <c r="F109" s="280">
        <f t="shared" si="11"/>
        <v>0</v>
      </c>
      <c r="G109" s="404">
        <f t="shared" si="12"/>
        <v>0</v>
      </c>
      <c r="H109" s="281"/>
      <c r="I109" s="413"/>
      <c r="J109" s="274">
        <v>95</v>
      </c>
      <c r="K109" s="428">
        <f t="shared" si="18"/>
        <v>48182</v>
      </c>
      <c r="L109" s="286">
        <f t="shared" si="19"/>
        <v>3275660.8080108599</v>
      </c>
      <c r="M109" s="286">
        <f t="shared" si="13"/>
        <v>17743.162710058827</v>
      </c>
      <c r="N109" s="285">
        <f t="shared" si="14"/>
        <v>5531.2184351392571</v>
      </c>
      <c r="O109" s="427">
        <f t="shared" si="15"/>
        <v>3270129.5895757205</v>
      </c>
      <c r="Q109" s="413"/>
      <c r="R109" s="274"/>
      <c r="S109" s="428"/>
      <c r="T109" s="286"/>
      <c r="U109" s="286"/>
      <c r="V109" s="285"/>
      <c r="W109" s="427"/>
    </row>
    <row r="110" spans="1:23" x14ac:dyDescent="0.15">
      <c r="A110" s="398"/>
      <c r="B110" s="272">
        <v>96</v>
      </c>
      <c r="C110" s="278">
        <f t="shared" si="16"/>
        <v>48213</v>
      </c>
      <c r="D110" s="280">
        <f t="shared" si="17"/>
        <v>0</v>
      </c>
      <c r="E110" s="280">
        <f t="shared" si="10"/>
        <v>0</v>
      </c>
      <c r="F110" s="280">
        <f t="shared" si="11"/>
        <v>0</v>
      </c>
      <c r="G110" s="404">
        <f t="shared" si="12"/>
        <v>0</v>
      </c>
      <c r="H110" s="281"/>
      <c r="I110" s="413"/>
      <c r="J110" s="274">
        <v>96</v>
      </c>
      <c r="K110" s="428">
        <f t="shared" si="18"/>
        <v>48213</v>
      </c>
      <c r="L110" s="286">
        <f t="shared" si="19"/>
        <v>3270129.5895757205</v>
      </c>
      <c r="M110" s="286">
        <f t="shared" si="13"/>
        <v>17713.201943535154</v>
      </c>
      <c r="N110" s="285">
        <f t="shared" si="14"/>
        <v>5561.1792016629297</v>
      </c>
      <c r="O110" s="427">
        <f t="shared" si="15"/>
        <v>3264568.4103740575</v>
      </c>
      <c r="Q110" s="413"/>
      <c r="R110" s="274"/>
      <c r="S110" s="428"/>
      <c r="T110" s="286"/>
      <c r="U110" s="286"/>
      <c r="V110" s="285"/>
      <c r="W110" s="427"/>
    </row>
    <row r="111" spans="1:23" x14ac:dyDescent="0.15">
      <c r="A111" s="398"/>
      <c r="B111" s="272">
        <v>97</v>
      </c>
      <c r="C111" s="278">
        <f t="shared" si="16"/>
        <v>48244</v>
      </c>
      <c r="D111" s="280">
        <f t="shared" si="17"/>
        <v>0</v>
      </c>
      <c r="E111" s="280">
        <f t="shared" si="10"/>
        <v>0</v>
      </c>
      <c r="F111" s="280">
        <f t="shared" si="11"/>
        <v>0</v>
      </c>
      <c r="G111" s="404">
        <f t="shared" si="12"/>
        <v>0</v>
      </c>
      <c r="H111" s="281"/>
      <c r="I111" s="413"/>
      <c r="J111" s="274">
        <v>97</v>
      </c>
      <c r="K111" s="428">
        <f t="shared" si="18"/>
        <v>48244</v>
      </c>
      <c r="L111" s="286">
        <f t="shared" si="19"/>
        <v>3264568.4103740575</v>
      </c>
      <c r="M111" s="286">
        <f t="shared" si="13"/>
        <v>17683.078889526147</v>
      </c>
      <c r="N111" s="285">
        <f t="shared" si="14"/>
        <v>5591.302255671937</v>
      </c>
      <c r="O111" s="427">
        <f t="shared" si="15"/>
        <v>3258977.1081183855</v>
      </c>
      <c r="Q111" s="413"/>
      <c r="R111" s="274"/>
      <c r="S111" s="428"/>
      <c r="T111" s="286"/>
      <c r="U111" s="286"/>
      <c r="V111" s="285"/>
      <c r="W111" s="427"/>
    </row>
    <row r="112" spans="1:23" x14ac:dyDescent="0.15">
      <c r="A112" s="398"/>
      <c r="B112" s="272">
        <v>98</v>
      </c>
      <c r="C112" s="278">
        <f t="shared" si="16"/>
        <v>48273</v>
      </c>
      <c r="D112" s="280">
        <f t="shared" si="17"/>
        <v>0</v>
      </c>
      <c r="E112" s="280">
        <f t="shared" si="10"/>
        <v>0</v>
      </c>
      <c r="F112" s="280">
        <f t="shared" si="11"/>
        <v>0</v>
      </c>
      <c r="G112" s="404">
        <f t="shared" si="12"/>
        <v>0</v>
      </c>
      <c r="H112" s="281"/>
      <c r="I112" s="413"/>
      <c r="J112" s="274">
        <v>98</v>
      </c>
      <c r="K112" s="428">
        <f t="shared" si="18"/>
        <v>48273</v>
      </c>
      <c r="L112" s="286">
        <f t="shared" si="19"/>
        <v>3258977.1081183855</v>
      </c>
      <c r="M112" s="286">
        <f t="shared" si="13"/>
        <v>17652.792668974591</v>
      </c>
      <c r="N112" s="285">
        <f t="shared" si="14"/>
        <v>5621.5884762234928</v>
      </c>
      <c r="O112" s="427">
        <f t="shared" si="15"/>
        <v>3253355.5196421621</v>
      </c>
      <c r="Q112" s="413"/>
      <c r="R112" s="274"/>
      <c r="S112" s="428"/>
      <c r="T112" s="286"/>
      <c r="U112" s="286"/>
      <c r="V112" s="285"/>
      <c r="W112" s="427"/>
    </row>
    <row r="113" spans="1:23" x14ac:dyDescent="0.15">
      <c r="A113" s="398"/>
      <c r="B113" s="272">
        <v>99</v>
      </c>
      <c r="C113" s="278">
        <f t="shared" si="16"/>
        <v>48304</v>
      </c>
      <c r="D113" s="280">
        <f t="shared" si="17"/>
        <v>0</v>
      </c>
      <c r="E113" s="280">
        <f t="shared" si="10"/>
        <v>0</v>
      </c>
      <c r="F113" s="280">
        <f t="shared" si="11"/>
        <v>0</v>
      </c>
      <c r="G113" s="404">
        <f t="shared" si="12"/>
        <v>0</v>
      </c>
      <c r="H113" s="281"/>
      <c r="I113" s="413"/>
      <c r="J113" s="274">
        <v>99</v>
      </c>
      <c r="K113" s="428">
        <f t="shared" si="18"/>
        <v>48304</v>
      </c>
      <c r="L113" s="286">
        <f t="shared" si="19"/>
        <v>3253355.5196421621</v>
      </c>
      <c r="M113" s="286">
        <f t="shared" si="13"/>
        <v>17622.342398061712</v>
      </c>
      <c r="N113" s="285">
        <f t="shared" si="14"/>
        <v>5652.038747136372</v>
      </c>
      <c r="O113" s="427">
        <f t="shared" si="15"/>
        <v>3247703.4808950257</v>
      </c>
      <c r="Q113" s="413"/>
      <c r="R113" s="274"/>
      <c r="S113" s="428"/>
      <c r="T113" s="286"/>
      <c r="U113" s="286"/>
      <c r="V113" s="285"/>
      <c r="W113" s="427"/>
    </row>
    <row r="114" spans="1:23" x14ac:dyDescent="0.15">
      <c r="A114" s="398"/>
      <c r="B114" s="272">
        <v>100</v>
      </c>
      <c r="C114" s="278">
        <f t="shared" si="16"/>
        <v>48334</v>
      </c>
      <c r="D114" s="280">
        <f t="shared" si="17"/>
        <v>0</v>
      </c>
      <c r="E114" s="280">
        <f t="shared" si="10"/>
        <v>0</v>
      </c>
      <c r="F114" s="280">
        <f t="shared" si="11"/>
        <v>0</v>
      </c>
      <c r="G114" s="404">
        <f t="shared" si="12"/>
        <v>0</v>
      </c>
      <c r="H114" s="281"/>
      <c r="I114" s="413"/>
      <c r="J114" s="274">
        <v>100</v>
      </c>
      <c r="K114" s="428">
        <f t="shared" si="18"/>
        <v>48334</v>
      </c>
      <c r="L114" s="286">
        <f t="shared" si="19"/>
        <v>3247703.4808950257</v>
      </c>
      <c r="M114" s="286">
        <f t="shared" si="13"/>
        <v>17591.72718818139</v>
      </c>
      <c r="N114" s="285">
        <f t="shared" si="14"/>
        <v>5682.6539570166933</v>
      </c>
      <c r="O114" s="427">
        <f t="shared" si="15"/>
        <v>3242020.8269380089</v>
      </c>
      <c r="Q114" s="413"/>
      <c r="R114" s="274"/>
      <c r="S114" s="428"/>
      <c r="T114" s="286"/>
      <c r="U114" s="286"/>
      <c r="V114" s="285"/>
      <c r="W114" s="427"/>
    </row>
    <row r="115" spans="1:23" x14ac:dyDescent="0.15">
      <c r="A115" s="398"/>
      <c r="B115" s="272">
        <v>101</v>
      </c>
      <c r="C115" s="278">
        <f t="shared" si="16"/>
        <v>48365</v>
      </c>
      <c r="D115" s="280">
        <f t="shared" si="17"/>
        <v>0</v>
      </c>
      <c r="E115" s="280">
        <f t="shared" si="10"/>
        <v>0</v>
      </c>
      <c r="F115" s="280">
        <f t="shared" si="11"/>
        <v>0</v>
      </c>
      <c r="G115" s="404">
        <f t="shared" si="12"/>
        <v>0</v>
      </c>
      <c r="H115" s="281"/>
      <c r="I115" s="413"/>
      <c r="J115" s="274">
        <v>101</v>
      </c>
      <c r="K115" s="428">
        <f t="shared" si="18"/>
        <v>48365</v>
      </c>
      <c r="L115" s="286">
        <f t="shared" si="19"/>
        <v>3242020.8269380089</v>
      </c>
      <c r="M115" s="286">
        <f t="shared" si="13"/>
        <v>17560.946145914215</v>
      </c>
      <c r="N115" s="285">
        <f t="shared" si="14"/>
        <v>5713.4349992838688</v>
      </c>
      <c r="O115" s="427">
        <f t="shared" si="15"/>
        <v>3236307.391938725</v>
      </c>
      <c r="Q115" s="413"/>
      <c r="R115" s="274"/>
      <c r="S115" s="428"/>
      <c r="T115" s="286"/>
      <c r="U115" s="286"/>
      <c r="V115" s="285"/>
      <c r="W115" s="427"/>
    </row>
    <row r="116" spans="1:23" x14ac:dyDescent="0.15">
      <c r="A116" s="398"/>
      <c r="B116" s="272">
        <v>102</v>
      </c>
      <c r="C116" s="278">
        <f t="shared" si="16"/>
        <v>48395</v>
      </c>
      <c r="D116" s="280">
        <f t="shared" si="17"/>
        <v>0</v>
      </c>
      <c r="E116" s="280">
        <f t="shared" si="10"/>
        <v>0</v>
      </c>
      <c r="F116" s="280">
        <f t="shared" si="11"/>
        <v>0</v>
      </c>
      <c r="G116" s="404">
        <f t="shared" si="12"/>
        <v>0</v>
      </c>
      <c r="H116" s="281"/>
      <c r="I116" s="413"/>
      <c r="J116" s="274">
        <v>102</v>
      </c>
      <c r="K116" s="428">
        <f t="shared" si="18"/>
        <v>48395</v>
      </c>
      <c r="L116" s="286">
        <f t="shared" si="19"/>
        <v>3236307.391938725</v>
      </c>
      <c r="M116" s="286">
        <f t="shared" si="13"/>
        <v>17529.998373001428</v>
      </c>
      <c r="N116" s="285">
        <f t="shared" si="14"/>
        <v>5744.3827721966554</v>
      </c>
      <c r="O116" s="427">
        <f t="shared" si="15"/>
        <v>3230563.0091665285</v>
      </c>
      <c r="Q116" s="413"/>
      <c r="R116" s="274"/>
      <c r="S116" s="428"/>
      <c r="T116" s="286"/>
      <c r="U116" s="286"/>
      <c r="V116" s="285"/>
      <c r="W116" s="427"/>
    </row>
    <row r="117" spans="1:23" x14ac:dyDescent="0.15">
      <c r="A117" s="398"/>
      <c r="B117" s="272">
        <v>103</v>
      </c>
      <c r="C117" s="278">
        <f t="shared" si="16"/>
        <v>48426</v>
      </c>
      <c r="D117" s="280">
        <f t="shared" si="17"/>
        <v>0</v>
      </c>
      <c r="E117" s="280">
        <f t="shared" si="10"/>
        <v>0</v>
      </c>
      <c r="F117" s="280">
        <f t="shared" si="11"/>
        <v>0</v>
      </c>
      <c r="G117" s="404">
        <f t="shared" si="12"/>
        <v>0</v>
      </c>
      <c r="H117" s="281"/>
      <c r="I117" s="413"/>
      <c r="J117" s="274">
        <v>103</v>
      </c>
      <c r="K117" s="428">
        <f t="shared" si="18"/>
        <v>48426</v>
      </c>
      <c r="L117" s="286">
        <f t="shared" si="19"/>
        <v>3230563.0091665285</v>
      </c>
      <c r="M117" s="286">
        <f t="shared" si="13"/>
        <v>17498.882966318695</v>
      </c>
      <c r="N117" s="285">
        <f t="shared" si="14"/>
        <v>5775.4981788793884</v>
      </c>
      <c r="O117" s="427">
        <f t="shared" si="15"/>
        <v>3224787.5109876492</v>
      </c>
      <c r="Q117" s="413"/>
      <c r="R117" s="274"/>
      <c r="S117" s="428"/>
      <c r="T117" s="286"/>
      <c r="U117" s="286"/>
      <c r="V117" s="285"/>
      <c r="W117" s="427"/>
    </row>
    <row r="118" spans="1:23" x14ac:dyDescent="0.15">
      <c r="A118" s="398"/>
      <c r="B118" s="272">
        <v>104</v>
      </c>
      <c r="C118" s="278">
        <f t="shared" si="16"/>
        <v>48457</v>
      </c>
      <c r="D118" s="280">
        <f t="shared" si="17"/>
        <v>0</v>
      </c>
      <c r="E118" s="280">
        <f t="shared" si="10"/>
        <v>0</v>
      </c>
      <c r="F118" s="280">
        <f t="shared" si="11"/>
        <v>0</v>
      </c>
      <c r="G118" s="404">
        <f t="shared" si="12"/>
        <v>0</v>
      </c>
      <c r="H118" s="281"/>
      <c r="I118" s="413"/>
      <c r="J118" s="274">
        <v>104</v>
      </c>
      <c r="K118" s="428">
        <f t="shared" si="18"/>
        <v>48457</v>
      </c>
      <c r="L118" s="286">
        <f t="shared" si="19"/>
        <v>3224787.5109876492</v>
      </c>
      <c r="M118" s="286">
        <f t="shared" si="13"/>
        <v>17467.599017849767</v>
      </c>
      <c r="N118" s="285">
        <f t="shared" si="14"/>
        <v>5806.7821273483169</v>
      </c>
      <c r="O118" s="427">
        <f t="shared" si="15"/>
        <v>3218980.728860301</v>
      </c>
      <c r="Q118" s="413"/>
      <c r="R118" s="274"/>
      <c r="S118" s="428"/>
      <c r="T118" s="286"/>
      <c r="U118" s="286"/>
      <c r="V118" s="285"/>
      <c r="W118" s="427"/>
    </row>
    <row r="119" spans="1:23" x14ac:dyDescent="0.15">
      <c r="A119" s="398"/>
      <c r="B119" s="272">
        <v>105</v>
      </c>
      <c r="C119" s="278">
        <f t="shared" si="16"/>
        <v>48487</v>
      </c>
      <c r="D119" s="280">
        <f t="shared" si="17"/>
        <v>0</v>
      </c>
      <c r="E119" s="280">
        <f t="shared" si="10"/>
        <v>0</v>
      </c>
      <c r="F119" s="280">
        <f t="shared" si="11"/>
        <v>0</v>
      </c>
      <c r="G119" s="404">
        <f t="shared" si="12"/>
        <v>0</v>
      </c>
      <c r="H119" s="281"/>
      <c r="I119" s="413"/>
      <c r="J119" s="274">
        <v>105</v>
      </c>
      <c r="K119" s="428">
        <f t="shared" si="18"/>
        <v>48487</v>
      </c>
      <c r="L119" s="286">
        <f t="shared" si="19"/>
        <v>3218980.728860301</v>
      </c>
      <c r="M119" s="286">
        <f t="shared" si="13"/>
        <v>17436.145614659963</v>
      </c>
      <c r="N119" s="285">
        <f t="shared" si="14"/>
        <v>5838.2355305381207</v>
      </c>
      <c r="O119" s="427">
        <f t="shared" si="15"/>
        <v>3213142.4933297629</v>
      </c>
      <c r="Q119" s="413"/>
      <c r="R119" s="274"/>
      <c r="S119" s="428"/>
      <c r="T119" s="286"/>
      <c r="U119" s="286"/>
      <c r="V119" s="285"/>
      <c r="W119" s="427"/>
    </row>
    <row r="120" spans="1:23" x14ac:dyDescent="0.15">
      <c r="A120" s="398"/>
      <c r="B120" s="272">
        <v>106</v>
      </c>
      <c r="C120" s="278">
        <f t="shared" si="16"/>
        <v>48518</v>
      </c>
      <c r="D120" s="280">
        <f t="shared" si="17"/>
        <v>0</v>
      </c>
      <c r="E120" s="280">
        <f t="shared" si="10"/>
        <v>0</v>
      </c>
      <c r="F120" s="280">
        <f t="shared" si="11"/>
        <v>0</v>
      </c>
      <c r="G120" s="404">
        <f t="shared" si="12"/>
        <v>0</v>
      </c>
      <c r="H120" s="281"/>
      <c r="I120" s="413"/>
      <c r="J120" s="274">
        <v>106</v>
      </c>
      <c r="K120" s="428">
        <f t="shared" si="18"/>
        <v>48518</v>
      </c>
      <c r="L120" s="286">
        <f t="shared" si="19"/>
        <v>3213142.4933297629</v>
      </c>
      <c r="M120" s="286">
        <f t="shared" si="13"/>
        <v>17404.52183886955</v>
      </c>
      <c r="N120" s="285">
        <f t="shared" si="14"/>
        <v>5869.8593063285334</v>
      </c>
      <c r="O120" s="427">
        <f t="shared" si="15"/>
        <v>3207272.6340234345</v>
      </c>
      <c r="Q120" s="413"/>
      <c r="R120" s="274"/>
      <c r="S120" s="428"/>
      <c r="T120" s="286"/>
      <c r="U120" s="286"/>
      <c r="V120" s="285"/>
      <c r="W120" s="427"/>
    </row>
    <row r="121" spans="1:23" x14ac:dyDescent="0.15">
      <c r="A121" s="398"/>
      <c r="B121" s="272">
        <v>107</v>
      </c>
      <c r="C121" s="278">
        <f t="shared" si="16"/>
        <v>48548</v>
      </c>
      <c r="D121" s="280">
        <f t="shared" si="17"/>
        <v>0</v>
      </c>
      <c r="E121" s="280">
        <f t="shared" si="10"/>
        <v>0</v>
      </c>
      <c r="F121" s="280">
        <f t="shared" si="11"/>
        <v>0</v>
      </c>
      <c r="G121" s="404">
        <f t="shared" si="12"/>
        <v>0</v>
      </c>
      <c r="H121" s="281"/>
      <c r="I121" s="413"/>
      <c r="J121" s="274">
        <v>107</v>
      </c>
      <c r="K121" s="428">
        <f t="shared" si="18"/>
        <v>48548</v>
      </c>
      <c r="L121" s="286">
        <f t="shared" si="19"/>
        <v>3207272.6340234345</v>
      </c>
      <c r="M121" s="286">
        <f t="shared" si="13"/>
        <v>17372.726767626937</v>
      </c>
      <c r="N121" s="285">
        <f t="shared" si="14"/>
        <v>5901.6543775711471</v>
      </c>
      <c r="O121" s="427">
        <f t="shared" si="15"/>
        <v>3201370.9796458632</v>
      </c>
      <c r="Q121" s="413"/>
      <c r="R121" s="274"/>
      <c r="S121" s="428"/>
      <c r="T121" s="286"/>
      <c r="U121" s="286"/>
      <c r="V121" s="285"/>
      <c r="W121" s="427"/>
    </row>
    <row r="122" spans="1:23" x14ac:dyDescent="0.15">
      <c r="A122" s="398"/>
      <c r="B122" s="272">
        <v>108</v>
      </c>
      <c r="C122" s="278">
        <f t="shared" si="16"/>
        <v>48579</v>
      </c>
      <c r="D122" s="280">
        <f t="shared" si="17"/>
        <v>0</v>
      </c>
      <c r="E122" s="280">
        <f t="shared" si="10"/>
        <v>0</v>
      </c>
      <c r="F122" s="280">
        <f t="shared" si="11"/>
        <v>0</v>
      </c>
      <c r="G122" s="404">
        <f t="shared" si="12"/>
        <v>0</v>
      </c>
      <c r="H122" s="281"/>
      <c r="I122" s="413"/>
      <c r="J122" s="274">
        <v>108</v>
      </c>
      <c r="K122" s="428">
        <f t="shared" si="18"/>
        <v>48579</v>
      </c>
      <c r="L122" s="286">
        <f t="shared" si="19"/>
        <v>3201370.9796458632</v>
      </c>
      <c r="M122" s="286">
        <f t="shared" si="13"/>
        <v>17340.759473081762</v>
      </c>
      <c r="N122" s="285">
        <f t="shared" si="14"/>
        <v>5933.6216721163219</v>
      </c>
      <c r="O122" s="427">
        <f t="shared" si="15"/>
        <v>3195437.357973747</v>
      </c>
      <c r="Q122" s="413"/>
      <c r="R122" s="274"/>
      <c r="S122" s="428"/>
      <c r="T122" s="286"/>
      <c r="U122" s="286"/>
      <c r="V122" s="285"/>
      <c r="W122" s="427"/>
    </row>
    <row r="123" spans="1:23" x14ac:dyDescent="0.15">
      <c r="A123" s="398"/>
      <c r="B123" s="272">
        <v>109</v>
      </c>
      <c r="C123" s="278">
        <f t="shared" si="16"/>
        <v>48610</v>
      </c>
      <c r="D123" s="280">
        <f t="shared" si="17"/>
        <v>0</v>
      </c>
      <c r="E123" s="280">
        <f t="shared" si="10"/>
        <v>0</v>
      </c>
      <c r="F123" s="280">
        <f t="shared" si="11"/>
        <v>0</v>
      </c>
      <c r="G123" s="404">
        <f t="shared" si="12"/>
        <v>0</v>
      </c>
      <c r="H123" s="281"/>
      <c r="I123" s="413"/>
      <c r="J123" s="274">
        <v>109</v>
      </c>
      <c r="K123" s="428">
        <f t="shared" si="18"/>
        <v>48610</v>
      </c>
      <c r="L123" s="286">
        <f t="shared" si="19"/>
        <v>3195437.357973747</v>
      </c>
      <c r="M123" s="286">
        <f t="shared" si="13"/>
        <v>17308.619022357798</v>
      </c>
      <c r="N123" s="285">
        <f t="shared" si="14"/>
        <v>5965.7621228402859</v>
      </c>
      <c r="O123" s="427">
        <f t="shared" si="15"/>
        <v>3189471.5958509068</v>
      </c>
      <c r="Q123" s="413"/>
      <c r="R123" s="274"/>
      <c r="S123" s="428"/>
      <c r="T123" s="286"/>
      <c r="U123" s="286"/>
      <c r="V123" s="285"/>
      <c r="W123" s="427"/>
    </row>
    <row r="124" spans="1:23" x14ac:dyDescent="0.15">
      <c r="A124" s="398"/>
      <c r="B124" s="272">
        <v>110</v>
      </c>
      <c r="C124" s="278">
        <f t="shared" si="16"/>
        <v>48638</v>
      </c>
      <c r="D124" s="280">
        <f t="shared" si="17"/>
        <v>0</v>
      </c>
      <c r="E124" s="280">
        <f t="shared" si="10"/>
        <v>0</v>
      </c>
      <c r="F124" s="280">
        <f t="shared" si="11"/>
        <v>0</v>
      </c>
      <c r="G124" s="404">
        <f t="shared" si="12"/>
        <v>0</v>
      </c>
      <c r="H124" s="281"/>
      <c r="I124" s="413"/>
      <c r="J124" s="274">
        <v>110</v>
      </c>
      <c r="K124" s="428">
        <f t="shared" si="18"/>
        <v>48638</v>
      </c>
      <c r="L124" s="286">
        <f t="shared" si="19"/>
        <v>3189471.5958509068</v>
      </c>
      <c r="M124" s="286">
        <f t="shared" si="13"/>
        <v>17276.304477525748</v>
      </c>
      <c r="N124" s="285">
        <f t="shared" si="14"/>
        <v>5998.076667672336</v>
      </c>
      <c r="O124" s="427">
        <f t="shared" si="15"/>
        <v>3183473.5191832343</v>
      </c>
      <c r="Q124" s="413"/>
      <c r="R124" s="274"/>
      <c r="S124" s="428"/>
      <c r="T124" s="286"/>
      <c r="U124" s="286"/>
      <c r="V124" s="285"/>
      <c r="W124" s="427"/>
    </row>
    <row r="125" spans="1:23" x14ac:dyDescent="0.15">
      <c r="A125" s="398"/>
      <c r="B125" s="272">
        <v>111</v>
      </c>
      <c r="C125" s="278">
        <f t="shared" si="16"/>
        <v>48669</v>
      </c>
      <c r="D125" s="280">
        <f t="shared" si="17"/>
        <v>0</v>
      </c>
      <c r="E125" s="280">
        <f t="shared" si="10"/>
        <v>0</v>
      </c>
      <c r="F125" s="280">
        <f t="shared" si="11"/>
        <v>0</v>
      </c>
      <c r="G125" s="404">
        <f t="shared" si="12"/>
        <v>0</v>
      </c>
      <c r="H125" s="281"/>
      <c r="I125" s="413"/>
      <c r="J125" s="274">
        <v>111</v>
      </c>
      <c r="K125" s="428">
        <f t="shared" si="18"/>
        <v>48669</v>
      </c>
      <c r="L125" s="286">
        <f t="shared" si="19"/>
        <v>3183473.5191832343</v>
      </c>
      <c r="M125" s="286">
        <f t="shared" si="13"/>
        <v>17243.814895575855</v>
      </c>
      <c r="N125" s="285">
        <f t="shared" si="14"/>
        <v>6030.5662496222285</v>
      </c>
      <c r="O125" s="427">
        <f t="shared" si="15"/>
        <v>3177442.9529336123</v>
      </c>
      <c r="Q125" s="413"/>
      <c r="R125" s="274"/>
      <c r="S125" s="428"/>
      <c r="T125" s="286"/>
      <c r="U125" s="286"/>
      <c r="V125" s="285"/>
      <c r="W125" s="427"/>
    </row>
    <row r="126" spans="1:23" x14ac:dyDescent="0.15">
      <c r="A126" s="398"/>
      <c r="B126" s="272">
        <v>112</v>
      </c>
      <c r="C126" s="278">
        <f t="shared" si="16"/>
        <v>48699</v>
      </c>
      <c r="D126" s="280">
        <f t="shared" si="17"/>
        <v>0</v>
      </c>
      <c r="E126" s="280">
        <f t="shared" si="10"/>
        <v>0</v>
      </c>
      <c r="F126" s="280">
        <f t="shared" si="11"/>
        <v>0</v>
      </c>
      <c r="G126" s="404">
        <f t="shared" si="12"/>
        <v>0</v>
      </c>
      <c r="H126" s="281"/>
      <c r="I126" s="413"/>
      <c r="J126" s="274">
        <v>112</v>
      </c>
      <c r="K126" s="428">
        <f t="shared" si="18"/>
        <v>48699</v>
      </c>
      <c r="L126" s="286">
        <f t="shared" si="19"/>
        <v>3177442.9529336123</v>
      </c>
      <c r="M126" s="286">
        <f t="shared" si="13"/>
        <v>17211.149328390402</v>
      </c>
      <c r="N126" s="285">
        <f t="shared" si="14"/>
        <v>6063.2318168076818</v>
      </c>
      <c r="O126" s="427">
        <f t="shared" si="15"/>
        <v>3171379.7211168045</v>
      </c>
      <c r="Q126" s="413"/>
      <c r="R126" s="274"/>
      <c r="S126" s="428"/>
      <c r="T126" s="286"/>
      <c r="U126" s="286"/>
      <c r="V126" s="285"/>
      <c r="W126" s="427"/>
    </row>
    <row r="127" spans="1:23" x14ac:dyDescent="0.15">
      <c r="A127" s="398"/>
      <c r="B127" s="272">
        <v>113</v>
      </c>
      <c r="C127" s="278">
        <f t="shared" si="16"/>
        <v>48730</v>
      </c>
      <c r="D127" s="280">
        <f t="shared" si="17"/>
        <v>0</v>
      </c>
      <c r="E127" s="280">
        <f t="shared" si="10"/>
        <v>0</v>
      </c>
      <c r="F127" s="280">
        <f t="shared" si="11"/>
        <v>0</v>
      </c>
      <c r="G127" s="404">
        <f t="shared" si="12"/>
        <v>0</v>
      </c>
      <c r="H127" s="281"/>
      <c r="I127" s="413"/>
      <c r="J127" s="274">
        <v>113</v>
      </c>
      <c r="K127" s="428">
        <f t="shared" si="18"/>
        <v>48730</v>
      </c>
      <c r="L127" s="286">
        <f t="shared" si="19"/>
        <v>3171379.7211168045</v>
      </c>
      <c r="M127" s="286">
        <f t="shared" si="13"/>
        <v>17178.306822716026</v>
      </c>
      <c r="N127" s="285">
        <f t="shared" si="14"/>
        <v>6096.0743224820581</v>
      </c>
      <c r="O127" s="427">
        <f t="shared" si="15"/>
        <v>3165283.6467943224</v>
      </c>
      <c r="Q127" s="413"/>
      <c r="R127" s="274"/>
      <c r="S127" s="428"/>
      <c r="T127" s="286"/>
      <c r="U127" s="286"/>
      <c r="V127" s="285"/>
      <c r="W127" s="427"/>
    </row>
    <row r="128" spans="1:23" x14ac:dyDescent="0.15">
      <c r="A128" s="398"/>
      <c r="B128" s="272">
        <v>114</v>
      </c>
      <c r="C128" s="278">
        <f t="shared" si="16"/>
        <v>48760</v>
      </c>
      <c r="D128" s="280">
        <f t="shared" si="17"/>
        <v>0</v>
      </c>
      <c r="E128" s="280">
        <f t="shared" si="10"/>
        <v>0</v>
      </c>
      <c r="F128" s="280">
        <f t="shared" si="11"/>
        <v>0</v>
      </c>
      <c r="G128" s="404">
        <f t="shared" si="12"/>
        <v>0</v>
      </c>
      <c r="H128" s="281"/>
      <c r="I128" s="413"/>
      <c r="J128" s="274">
        <v>114</v>
      </c>
      <c r="K128" s="428">
        <f t="shared" si="18"/>
        <v>48760</v>
      </c>
      <c r="L128" s="286">
        <f t="shared" si="19"/>
        <v>3165283.6467943224</v>
      </c>
      <c r="M128" s="286">
        <f t="shared" si="13"/>
        <v>17145.286420135915</v>
      </c>
      <c r="N128" s="285">
        <f t="shared" si="14"/>
        <v>6129.0947250621684</v>
      </c>
      <c r="O128" s="427">
        <f t="shared" si="15"/>
        <v>3159154.5520692603</v>
      </c>
      <c r="Q128" s="413"/>
      <c r="R128" s="274"/>
      <c r="S128" s="428"/>
      <c r="T128" s="286"/>
      <c r="U128" s="286"/>
      <c r="V128" s="285"/>
      <c r="W128" s="427"/>
    </row>
    <row r="129" spans="1:23" x14ac:dyDescent="0.15">
      <c r="A129" s="398"/>
      <c r="B129" s="272">
        <v>115</v>
      </c>
      <c r="C129" s="278">
        <f t="shared" si="16"/>
        <v>48791</v>
      </c>
      <c r="D129" s="280">
        <f t="shared" si="17"/>
        <v>0</v>
      </c>
      <c r="E129" s="280">
        <f t="shared" si="10"/>
        <v>0</v>
      </c>
      <c r="F129" s="280">
        <f t="shared" si="11"/>
        <v>0</v>
      </c>
      <c r="G129" s="404">
        <f t="shared" si="12"/>
        <v>0</v>
      </c>
      <c r="H129" s="281"/>
      <c r="I129" s="413"/>
      <c r="J129" s="274">
        <v>115</v>
      </c>
      <c r="K129" s="428">
        <f t="shared" si="18"/>
        <v>48791</v>
      </c>
      <c r="L129" s="286">
        <f t="shared" si="19"/>
        <v>3159154.5520692603</v>
      </c>
      <c r="M129" s="286">
        <f t="shared" si="13"/>
        <v>17112.087157041828</v>
      </c>
      <c r="N129" s="285">
        <f t="shared" si="14"/>
        <v>6162.2939881562561</v>
      </c>
      <c r="O129" s="427">
        <f t="shared" si="15"/>
        <v>3152992.2580811041</v>
      </c>
      <c r="Q129" s="413"/>
      <c r="R129" s="274"/>
      <c r="S129" s="428"/>
      <c r="T129" s="286"/>
      <c r="U129" s="286"/>
      <c r="V129" s="285"/>
      <c r="W129" s="427"/>
    </row>
    <row r="130" spans="1:23" x14ac:dyDescent="0.15">
      <c r="A130" s="398"/>
      <c r="B130" s="272">
        <v>116</v>
      </c>
      <c r="C130" s="278">
        <f t="shared" si="16"/>
        <v>48822</v>
      </c>
      <c r="D130" s="280">
        <f t="shared" si="17"/>
        <v>0</v>
      </c>
      <c r="E130" s="280">
        <f t="shared" si="10"/>
        <v>0</v>
      </c>
      <c r="F130" s="280">
        <f t="shared" si="11"/>
        <v>0</v>
      </c>
      <c r="G130" s="404">
        <f t="shared" si="12"/>
        <v>0</v>
      </c>
      <c r="H130" s="281"/>
      <c r="I130" s="413"/>
      <c r="J130" s="274">
        <v>116</v>
      </c>
      <c r="K130" s="428">
        <f t="shared" si="18"/>
        <v>48822</v>
      </c>
      <c r="L130" s="286">
        <f t="shared" si="19"/>
        <v>3152992.2580811041</v>
      </c>
      <c r="M130" s="286">
        <f t="shared" si="13"/>
        <v>17078.70806460598</v>
      </c>
      <c r="N130" s="285">
        <f t="shared" si="14"/>
        <v>6195.6730805921034</v>
      </c>
      <c r="O130" s="427">
        <f t="shared" si="15"/>
        <v>3146796.5850005122</v>
      </c>
      <c r="Q130" s="413"/>
      <c r="R130" s="274"/>
      <c r="S130" s="428"/>
      <c r="T130" s="286"/>
      <c r="U130" s="286"/>
      <c r="V130" s="285"/>
      <c r="W130" s="427"/>
    </row>
    <row r="131" spans="1:23" x14ac:dyDescent="0.15">
      <c r="A131" s="398"/>
      <c r="B131" s="272">
        <v>117</v>
      </c>
      <c r="C131" s="278">
        <f t="shared" si="16"/>
        <v>48852</v>
      </c>
      <c r="D131" s="280">
        <f t="shared" si="17"/>
        <v>0</v>
      </c>
      <c r="E131" s="280">
        <f t="shared" si="10"/>
        <v>0</v>
      </c>
      <c r="F131" s="280">
        <f t="shared" si="11"/>
        <v>0</v>
      </c>
      <c r="G131" s="404">
        <f t="shared" si="12"/>
        <v>0</v>
      </c>
      <c r="H131" s="281"/>
      <c r="I131" s="413"/>
      <c r="J131" s="274">
        <v>117</v>
      </c>
      <c r="K131" s="428">
        <f t="shared" si="18"/>
        <v>48852</v>
      </c>
      <c r="L131" s="286">
        <f t="shared" si="19"/>
        <v>3146796.5850005122</v>
      </c>
      <c r="M131" s="286">
        <f t="shared" si="13"/>
        <v>17045.148168752774</v>
      </c>
      <c r="N131" s="285">
        <f t="shared" si="14"/>
        <v>6229.2329764453098</v>
      </c>
      <c r="O131" s="427">
        <f t="shared" si="15"/>
        <v>3140567.3520240667</v>
      </c>
      <c r="Q131" s="413"/>
      <c r="R131" s="274"/>
      <c r="S131" s="428"/>
      <c r="T131" s="286"/>
      <c r="U131" s="286"/>
      <c r="V131" s="285"/>
      <c r="W131" s="427"/>
    </row>
    <row r="132" spans="1:23" x14ac:dyDescent="0.15">
      <c r="A132" s="398"/>
      <c r="B132" s="272">
        <v>118</v>
      </c>
      <c r="C132" s="278">
        <f t="shared" si="16"/>
        <v>48883</v>
      </c>
      <c r="D132" s="280">
        <f t="shared" si="17"/>
        <v>0</v>
      </c>
      <c r="E132" s="280">
        <f t="shared" si="10"/>
        <v>0</v>
      </c>
      <c r="F132" s="280">
        <f t="shared" si="11"/>
        <v>0</v>
      </c>
      <c r="G132" s="404">
        <f t="shared" si="12"/>
        <v>0</v>
      </c>
      <c r="H132" s="281"/>
      <c r="I132" s="413"/>
      <c r="J132" s="274">
        <v>118</v>
      </c>
      <c r="K132" s="428">
        <f t="shared" si="18"/>
        <v>48883</v>
      </c>
      <c r="L132" s="286">
        <f t="shared" si="19"/>
        <v>3140567.3520240667</v>
      </c>
      <c r="M132" s="286">
        <f t="shared" si="13"/>
        <v>17011.406490130361</v>
      </c>
      <c r="N132" s="285">
        <f t="shared" si="14"/>
        <v>6262.9746550677228</v>
      </c>
      <c r="O132" s="427">
        <f t="shared" si="15"/>
        <v>3134304.3773689992</v>
      </c>
      <c r="Q132" s="413"/>
      <c r="R132" s="274"/>
      <c r="S132" s="428"/>
      <c r="T132" s="286"/>
      <c r="U132" s="286"/>
      <c r="V132" s="285"/>
      <c r="W132" s="427"/>
    </row>
    <row r="133" spans="1:23" x14ac:dyDescent="0.15">
      <c r="A133" s="398"/>
      <c r="B133" s="272">
        <v>119</v>
      </c>
      <c r="C133" s="278">
        <f t="shared" si="16"/>
        <v>48913</v>
      </c>
      <c r="D133" s="280">
        <f t="shared" si="17"/>
        <v>0</v>
      </c>
      <c r="E133" s="280">
        <f t="shared" si="10"/>
        <v>0</v>
      </c>
      <c r="F133" s="280">
        <f t="shared" si="11"/>
        <v>0</v>
      </c>
      <c r="G133" s="404">
        <f t="shared" si="12"/>
        <v>0</v>
      </c>
      <c r="H133" s="281"/>
      <c r="I133" s="413"/>
      <c r="J133" s="274">
        <v>119</v>
      </c>
      <c r="K133" s="428">
        <f t="shared" si="18"/>
        <v>48913</v>
      </c>
      <c r="L133" s="286">
        <f t="shared" si="19"/>
        <v>3134304.3773689992</v>
      </c>
      <c r="M133" s="286">
        <f t="shared" si="13"/>
        <v>16977.48204408208</v>
      </c>
      <c r="N133" s="285">
        <f t="shared" si="14"/>
        <v>6296.8991011160033</v>
      </c>
      <c r="O133" s="427">
        <f t="shared" si="15"/>
        <v>3128007.478267883</v>
      </c>
      <c r="Q133" s="413"/>
      <c r="R133" s="274"/>
      <c r="S133" s="428"/>
      <c r="T133" s="286"/>
      <c r="U133" s="286"/>
      <c r="V133" s="285"/>
      <c r="W133" s="427"/>
    </row>
    <row r="134" spans="1:23" x14ac:dyDescent="0.15">
      <c r="A134" s="398"/>
      <c r="B134" s="272">
        <v>120</v>
      </c>
      <c r="C134" s="278">
        <f t="shared" si="16"/>
        <v>48944</v>
      </c>
      <c r="D134" s="280">
        <f t="shared" si="17"/>
        <v>0</v>
      </c>
      <c r="E134" s="280">
        <f t="shared" si="10"/>
        <v>0</v>
      </c>
      <c r="F134" s="280">
        <f t="shared" si="11"/>
        <v>0</v>
      </c>
      <c r="G134" s="404">
        <f t="shared" si="12"/>
        <v>0</v>
      </c>
      <c r="H134" s="281"/>
      <c r="I134" s="413"/>
      <c r="J134" s="274">
        <v>120</v>
      </c>
      <c r="K134" s="428">
        <f t="shared" si="18"/>
        <v>48944</v>
      </c>
      <c r="L134" s="286">
        <f t="shared" si="19"/>
        <v>3128007.478267883</v>
      </c>
      <c r="M134" s="286">
        <f t="shared" si="13"/>
        <v>16943.3738406177</v>
      </c>
      <c r="N134" s="285">
        <f t="shared" si="14"/>
        <v>6331.0073045803838</v>
      </c>
      <c r="O134" s="427">
        <f t="shared" si="15"/>
        <v>3121676.4709633025</v>
      </c>
      <c r="Q134" s="413"/>
      <c r="R134" s="274"/>
      <c r="S134" s="428"/>
      <c r="T134" s="286"/>
      <c r="U134" s="286"/>
      <c r="V134" s="285"/>
      <c r="W134" s="427"/>
    </row>
    <row r="135" spans="1:23" x14ac:dyDescent="0.15">
      <c r="A135" s="398"/>
      <c r="B135" s="272">
        <v>121</v>
      </c>
      <c r="C135" s="278">
        <f t="shared" si="16"/>
        <v>48975</v>
      </c>
      <c r="D135" s="280">
        <f t="shared" si="17"/>
        <v>0</v>
      </c>
      <c r="E135" s="280">
        <f t="shared" si="10"/>
        <v>0</v>
      </c>
      <c r="F135" s="280">
        <f t="shared" si="11"/>
        <v>0</v>
      </c>
      <c r="G135" s="404">
        <f t="shared" si="12"/>
        <v>0</v>
      </c>
      <c r="H135" s="281"/>
      <c r="I135" s="413"/>
      <c r="J135" s="274">
        <v>121</v>
      </c>
      <c r="K135" s="428">
        <f t="shared" si="18"/>
        <v>48975</v>
      </c>
      <c r="L135" s="286">
        <f t="shared" si="19"/>
        <v>0</v>
      </c>
      <c r="M135" s="286">
        <f t="shared" si="13"/>
        <v>0</v>
      </c>
      <c r="N135" s="285">
        <f t="shared" si="14"/>
        <v>0</v>
      </c>
      <c r="O135" s="427">
        <f t="shared" si="15"/>
        <v>0</v>
      </c>
      <c r="Q135" s="413"/>
      <c r="R135" s="274"/>
      <c r="S135" s="428"/>
      <c r="T135" s="286"/>
      <c r="U135" s="286"/>
      <c r="V135" s="285"/>
      <c r="W135" s="427"/>
    </row>
    <row r="136" spans="1:23" x14ac:dyDescent="0.15">
      <c r="A136" s="398"/>
      <c r="B136" s="272">
        <v>122</v>
      </c>
      <c r="C136" s="278">
        <f t="shared" si="16"/>
        <v>49003</v>
      </c>
      <c r="D136" s="280">
        <f t="shared" si="17"/>
        <v>0</v>
      </c>
      <c r="E136" s="280">
        <f t="shared" si="10"/>
        <v>0</v>
      </c>
      <c r="F136" s="280">
        <f t="shared" si="11"/>
        <v>0</v>
      </c>
      <c r="G136" s="404">
        <f t="shared" si="12"/>
        <v>0</v>
      </c>
      <c r="H136" s="281"/>
      <c r="I136" s="413"/>
      <c r="J136" s="274">
        <v>122</v>
      </c>
      <c r="K136" s="428">
        <f t="shared" si="18"/>
        <v>49003</v>
      </c>
      <c r="L136" s="286">
        <f t="shared" si="19"/>
        <v>0</v>
      </c>
      <c r="M136" s="286">
        <f t="shared" si="13"/>
        <v>0</v>
      </c>
      <c r="N136" s="285">
        <f t="shared" si="14"/>
        <v>0</v>
      </c>
      <c r="O136" s="427">
        <f t="shared" si="15"/>
        <v>0</v>
      </c>
      <c r="Q136" s="413"/>
      <c r="R136" s="274"/>
      <c r="S136" s="428"/>
      <c r="T136" s="286"/>
      <c r="U136" s="286"/>
      <c r="V136" s="285"/>
      <c r="W136" s="427"/>
    </row>
    <row r="137" spans="1:23" x14ac:dyDescent="0.15">
      <c r="A137" s="398"/>
      <c r="B137" s="272">
        <v>123</v>
      </c>
      <c r="C137" s="278">
        <f t="shared" si="16"/>
        <v>49034</v>
      </c>
      <c r="D137" s="280">
        <f t="shared" si="17"/>
        <v>0</v>
      </c>
      <c r="E137" s="280">
        <f t="shared" si="10"/>
        <v>0</v>
      </c>
      <c r="F137" s="280">
        <f t="shared" si="11"/>
        <v>0</v>
      </c>
      <c r="G137" s="404">
        <f t="shared" si="12"/>
        <v>0</v>
      </c>
      <c r="H137" s="281"/>
      <c r="I137" s="413"/>
      <c r="J137" s="274">
        <v>123</v>
      </c>
      <c r="K137" s="428">
        <f t="shared" si="18"/>
        <v>49034</v>
      </c>
      <c r="L137" s="286">
        <f t="shared" si="19"/>
        <v>0</v>
      </c>
      <c r="M137" s="286">
        <f t="shared" si="13"/>
        <v>0</v>
      </c>
      <c r="N137" s="285">
        <f t="shared" si="14"/>
        <v>0</v>
      </c>
      <c r="O137" s="427">
        <f t="shared" si="15"/>
        <v>0</v>
      </c>
      <c r="Q137" s="413"/>
      <c r="R137" s="274"/>
      <c r="S137" s="428"/>
      <c r="T137" s="286"/>
      <c r="U137" s="286"/>
      <c r="V137" s="285"/>
      <c r="W137" s="427"/>
    </row>
    <row r="138" spans="1:23" x14ac:dyDescent="0.15">
      <c r="A138" s="398"/>
      <c r="B138" s="272">
        <v>124</v>
      </c>
      <c r="C138" s="278">
        <f t="shared" si="16"/>
        <v>49064</v>
      </c>
      <c r="D138" s="280">
        <f t="shared" si="17"/>
        <v>0</v>
      </c>
      <c r="E138" s="280">
        <f t="shared" si="10"/>
        <v>0</v>
      </c>
      <c r="F138" s="280">
        <f t="shared" si="11"/>
        <v>0</v>
      </c>
      <c r="G138" s="404">
        <f t="shared" si="12"/>
        <v>0</v>
      </c>
      <c r="H138" s="281"/>
      <c r="I138" s="413"/>
      <c r="J138" s="274">
        <v>124</v>
      </c>
      <c r="K138" s="428">
        <f t="shared" si="18"/>
        <v>49064</v>
      </c>
      <c r="L138" s="286">
        <f t="shared" si="19"/>
        <v>0</v>
      </c>
      <c r="M138" s="286">
        <f t="shared" si="13"/>
        <v>0</v>
      </c>
      <c r="N138" s="285">
        <f t="shared" si="14"/>
        <v>0</v>
      </c>
      <c r="O138" s="427">
        <f t="shared" si="15"/>
        <v>0</v>
      </c>
      <c r="Q138" s="413"/>
      <c r="R138" s="274"/>
      <c r="S138" s="428"/>
      <c r="T138" s="286"/>
      <c r="U138" s="286"/>
      <c r="V138" s="285"/>
      <c r="W138" s="427"/>
    </row>
    <row r="139" spans="1:23" x14ac:dyDescent="0.15">
      <c r="A139" s="398"/>
      <c r="B139" s="272">
        <v>125</v>
      </c>
      <c r="C139" s="278">
        <f t="shared" si="16"/>
        <v>49095</v>
      </c>
      <c r="D139" s="280">
        <f t="shared" si="17"/>
        <v>0</v>
      </c>
      <c r="E139" s="280">
        <f t="shared" si="10"/>
        <v>0</v>
      </c>
      <c r="F139" s="280">
        <f t="shared" si="11"/>
        <v>0</v>
      </c>
      <c r="G139" s="404">
        <f t="shared" si="12"/>
        <v>0</v>
      </c>
      <c r="H139" s="281"/>
      <c r="I139" s="413"/>
      <c r="J139" s="274">
        <v>125</v>
      </c>
      <c r="K139" s="428">
        <f t="shared" si="18"/>
        <v>49095</v>
      </c>
      <c r="L139" s="286">
        <f t="shared" si="19"/>
        <v>0</v>
      </c>
      <c r="M139" s="286">
        <f t="shared" si="13"/>
        <v>0</v>
      </c>
      <c r="N139" s="285">
        <f t="shared" si="14"/>
        <v>0</v>
      </c>
      <c r="O139" s="427">
        <f t="shared" si="15"/>
        <v>0</v>
      </c>
      <c r="Q139" s="413"/>
      <c r="R139" s="274"/>
      <c r="S139" s="428"/>
      <c r="T139" s="286"/>
      <c r="U139" s="286"/>
      <c r="V139" s="285"/>
      <c r="W139" s="427"/>
    </row>
    <row r="140" spans="1:23" x14ac:dyDescent="0.15">
      <c r="A140" s="398"/>
      <c r="B140" s="272">
        <v>126</v>
      </c>
      <c r="C140" s="278">
        <f t="shared" si="16"/>
        <v>49125</v>
      </c>
      <c r="D140" s="280">
        <f t="shared" si="17"/>
        <v>0</v>
      </c>
      <c r="E140" s="280">
        <f t="shared" si="10"/>
        <v>0</v>
      </c>
      <c r="F140" s="280">
        <f t="shared" si="11"/>
        <v>0</v>
      </c>
      <c r="G140" s="404">
        <f t="shared" si="12"/>
        <v>0</v>
      </c>
      <c r="H140" s="281"/>
      <c r="I140" s="413"/>
      <c r="J140" s="274">
        <v>126</v>
      </c>
      <c r="K140" s="428">
        <f t="shared" si="18"/>
        <v>49125</v>
      </c>
      <c r="L140" s="286">
        <f t="shared" si="19"/>
        <v>0</v>
      </c>
      <c r="M140" s="286">
        <f t="shared" si="13"/>
        <v>0</v>
      </c>
      <c r="N140" s="285">
        <f t="shared" si="14"/>
        <v>0</v>
      </c>
      <c r="O140" s="427">
        <f t="shared" si="15"/>
        <v>0</v>
      </c>
      <c r="Q140" s="413"/>
      <c r="R140" s="274"/>
      <c r="S140" s="428"/>
      <c r="T140" s="286"/>
      <c r="U140" s="286"/>
      <c r="V140" s="285"/>
      <c r="W140" s="427"/>
    </row>
    <row r="141" spans="1:23" x14ac:dyDescent="0.15">
      <c r="A141" s="398"/>
      <c r="B141" s="272">
        <v>127</v>
      </c>
      <c r="C141" s="278">
        <f t="shared" si="16"/>
        <v>49156</v>
      </c>
      <c r="D141" s="280">
        <f t="shared" si="17"/>
        <v>0</v>
      </c>
      <c r="E141" s="280">
        <f t="shared" si="10"/>
        <v>0</v>
      </c>
      <c r="F141" s="280">
        <f t="shared" si="11"/>
        <v>0</v>
      </c>
      <c r="G141" s="404">
        <f t="shared" si="12"/>
        <v>0</v>
      </c>
      <c r="H141" s="281"/>
      <c r="I141" s="413"/>
      <c r="J141" s="274">
        <v>127</v>
      </c>
      <c r="K141" s="428">
        <f t="shared" si="18"/>
        <v>49156</v>
      </c>
      <c r="L141" s="286">
        <f t="shared" si="19"/>
        <v>0</v>
      </c>
      <c r="M141" s="286">
        <f t="shared" si="13"/>
        <v>0</v>
      </c>
      <c r="N141" s="285">
        <f t="shared" si="14"/>
        <v>0</v>
      </c>
      <c r="O141" s="427">
        <f t="shared" si="15"/>
        <v>0</v>
      </c>
      <c r="Q141" s="413"/>
      <c r="R141" s="274"/>
      <c r="S141" s="428"/>
      <c r="T141" s="286"/>
      <c r="U141" s="286"/>
      <c r="V141" s="285"/>
      <c r="W141" s="427"/>
    </row>
    <row r="142" spans="1:23" x14ac:dyDescent="0.15">
      <c r="A142" s="398"/>
      <c r="B142" s="272">
        <v>128</v>
      </c>
      <c r="C142" s="278">
        <f t="shared" si="16"/>
        <v>49187</v>
      </c>
      <c r="D142" s="280">
        <f t="shared" si="17"/>
        <v>0</v>
      </c>
      <c r="E142" s="280">
        <f t="shared" si="10"/>
        <v>0</v>
      </c>
      <c r="F142" s="280">
        <f t="shared" si="11"/>
        <v>0</v>
      </c>
      <c r="G142" s="404">
        <f t="shared" si="12"/>
        <v>0</v>
      </c>
      <c r="H142" s="281"/>
      <c r="I142" s="413"/>
      <c r="J142" s="274">
        <v>128</v>
      </c>
      <c r="K142" s="428">
        <f t="shared" si="18"/>
        <v>49187</v>
      </c>
      <c r="L142" s="286">
        <f t="shared" si="19"/>
        <v>0</v>
      </c>
      <c r="M142" s="286">
        <f t="shared" si="13"/>
        <v>0</v>
      </c>
      <c r="N142" s="285">
        <f t="shared" si="14"/>
        <v>0</v>
      </c>
      <c r="O142" s="427">
        <f t="shared" si="15"/>
        <v>0</v>
      </c>
      <c r="Q142" s="413"/>
      <c r="R142" s="274"/>
      <c r="S142" s="428"/>
      <c r="T142" s="286"/>
      <c r="U142" s="286"/>
      <c r="V142" s="285"/>
      <c r="W142" s="427"/>
    </row>
    <row r="143" spans="1:23" x14ac:dyDescent="0.15">
      <c r="A143" s="398"/>
      <c r="B143" s="272">
        <v>129</v>
      </c>
      <c r="C143" s="278">
        <f t="shared" si="16"/>
        <v>49217</v>
      </c>
      <c r="D143" s="280">
        <f t="shared" si="17"/>
        <v>0</v>
      </c>
      <c r="E143" s="280">
        <f t="shared" si="10"/>
        <v>0</v>
      </c>
      <c r="F143" s="280">
        <f t="shared" si="11"/>
        <v>0</v>
      </c>
      <c r="G143" s="404">
        <f t="shared" si="12"/>
        <v>0</v>
      </c>
      <c r="H143" s="281"/>
      <c r="I143" s="413"/>
      <c r="J143" s="274">
        <v>129</v>
      </c>
      <c r="K143" s="428">
        <f t="shared" si="18"/>
        <v>49217</v>
      </c>
      <c r="L143" s="286">
        <f t="shared" si="19"/>
        <v>0</v>
      </c>
      <c r="M143" s="286">
        <f t="shared" si="13"/>
        <v>0</v>
      </c>
      <c r="N143" s="285">
        <f t="shared" si="14"/>
        <v>0</v>
      </c>
      <c r="O143" s="427">
        <f t="shared" si="15"/>
        <v>0</v>
      </c>
      <c r="Q143" s="413"/>
      <c r="R143" s="274"/>
      <c r="S143" s="428"/>
      <c r="T143" s="286"/>
      <c r="U143" s="286"/>
      <c r="V143" s="285"/>
      <c r="W143" s="427"/>
    </row>
    <row r="144" spans="1:23" x14ac:dyDescent="0.15">
      <c r="A144" s="398"/>
      <c r="B144" s="272">
        <v>130</v>
      </c>
      <c r="C144" s="278">
        <f t="shared" si="16"/>
        <v>49248</v>
      </c>
      <c r="D144" s="280">
        <f t="shared" si="17"/>
        <v>0</v>
      </c>
      <c r="E144" s="280">
        <f t="shared" ref="E144:E207" si="20">(D144*$F$9)/12</f>
        <v>0</v>
      </c>
      <c r="F144" s="280">
        <f t="shared" ref="F144:F207" si="21">IF($F$10=0,0,IF(B144&gt;$F$6,0,-$F$11-E144))</f>
        <v>0</v>
      </c>
      <c r="G144" s="404">
        <f t="shared" ref="G144:G207" si="22">IF(B144&gt;$F$6,0,D144-F144)</f>
        <v>0</v>
      </c>
      <c r="H144" s="281"/>
      <c r="I144" s="413"/>
      <c r="J144" s="274">
        <v>130</v>
      </c>
      <c r="K144" s="428">
        <f t="shared" si="18"/>
        <v>49248</v>
      </c>
      <c r="L144" s="286">
        <f t="shared" si="19"/>
        <v>0</v>
      </c>
      <c r="M144" s="286">
        <f t="shared" ref="M144:M207" si="23">IF(K144&gt;$N$7,0,(L144*$N$9)/12)</f>
        <v>0</v>
      </c>
      <c r="N144" s="285">
        <f t="shared" ref="N144:N207" si="24">IF(K144&gt;$N$7,0,-$N$11-M144)</f>
        <v>0</v>
      </c>
      <c r="O144" s="427">
        <f t="shared" ref="O144:O207" si="25">IF(J144&gt;$N$6,0,L144-N144)</f>
        <v>0</v>
      </c>
      <c r="Q144" s="413"/>
      <c r="R144" s="274"/>
      <c r="S144" s="428"/>
      <c r="T144" s="286"/>
      <c r="U144" s="286"/>
      <c r="V144" s="285"/>
      <c r="W144" s="427"/>
    </row>
    <row r="145" spans="1:23" x14ac:dyDescent="0.15">
      <c r="A145" s="398"/>
      <c r="B145" s="272">
        <v>131</v>
      </c>
      <c r="C145" s="278">
        <f t="shared" ref="C145:C208" si="26">EOMONTH(C144,1)</f>
        <v>49278</v>
      </c>
      <c r="D145" s="280">
        <f t="shared" ref="D145:D208" si="27">IF(B145&gt;$F$6,0,G144)</f>
        <v>0</v>
      </c>
      <c r="E145" s="280">
        <f t="shared" si="20"/>
        <v>0</v>
      </c>
      <c r="F145" s="280">
        <f t="shared" si="21"/>
        <v>0</v>
      </c>
      <c r="G145" s="404">
        <f t="shared" si="22"/>
        <v>0</v>
      </c>
      <c r="H145" s="281"/>
      <c r="I145" s="413"/>
      <c r="J145" s="274">
        <v>131</v>
      </c>
      <c r="K145" s="428">
        <f t="shared" ref="K145:K208" si="28">EDATE(K144+1,1)-1</f>
        <v>49278</v>
      </c>
      <c r="L145" s="286">
        <f t="shared" ref="L145:L208" si="29">IF(J145&gt;$N$6,0,O144)</f>
        <v>0</v>
      </c>
      <c r="M145" s="286">
        <f t="shared" si="23"/>
        <v>0</v>
      </c>
      <c r="N145" s="285">
        <f t="shared" si="24"/>
        <v>0</v>
      </c>
      <c r="O145" s="427">
        <f t="shared" si="25"/>
        <v>0</v>
      </c>
      <c r="Q145" s="413"/>
      <c r="R145" s="274"/>
      <c r="S145" s="428"/>
      <c r="T145" s="286"/>
      <c r="U145" s="286"/>
      <c r="V145" s="285"/>
      <c r="W145" s="427"/>
    </row>
    <row r="146" spans="1:23" x14ac:dyDescent="0.15">
      <c r="A146" s="398"/>
      <c r="B146" s="272">
        <v>132</v>
      </c>
      <c r="C146" s="278">
        <f t="shared" si="26"/>
        <v>49309</v>
      </c>
      <c r="D146" s="280">
        <f t="shared" si="27"/>
        <v>0</v>
      </c>
      <c r="E146" s="280">
        <f t="shared" si="20"/>
        <v>0</v>
      </c>
      <c r="F146" s="280">
        <f t="shared" si="21"/>
        <v>0</v>
      </c>
      <c r="G146" s="404">
        <f t="shared" si="22"/>
        <v>0</v>
      </c>
      <c r="H146" s="281"/>
      <c r="I146" s="413"/>
      <c r="J146" s="274">
        <v>132</v>
      </c>
      <c r="K146" s="428">
        <f t="shared" si="28"/>
        <v>49309</v>
      </c>
      <c r="L146" s="286">
        <f t="shared" si="29"/>
        <v>0</v>
      </c>
      <c r="M146" s="286">
        <f t="shared" si="23"/>
        <v>0</v>
      </c>
      <c r="N146" s="285">
        <f t="shared" si="24"/>
        <v>0</v>
      </c>
      <c r="O146" s="427">
        <f t="shared" si="25"/>
        <v>0</v>
      </c>
      <c r="Q146" s="413"/>
      <c r="R146" s="274"/>
      <c r="S146" s="428"/>
      <c r="T146" s="286"/>
      <c r="U146" s="286"/>
      <c r="V146" s="285"/>
      <c r="W146" s="427"/>
    </row>
    <row r="147" spans="1:23" x14ac:dyDescent="0.15">
      <c r="A147" s="398"/>
      <c r="B147" s="272">
        <v>133</v>
      </c>
      <c r="C147" s="278">
        <f t="shared" si="26"/>
        <v>49340</v>
      </c>
      <c r="D147" s="280">
        <f t="shared" si="27"/>
        <v>0</v>
      </c>
      <c r="E147" s="280">
        <f t="shared" si="20"/>
        <v>0</v>
      </c>
      <c r="F147" s="280">
        <f t="shared" si="21"/>
        <v>0</v>
      </c>
      <c r="G147" s="404">
        <f t="shared" si="22"/>
        <v>0</v>
      </c>
      <c r="H147" s="281"/>
      <c r="I147" s="413"/>
      <c r="J147" s="274">
        <v>133</v>
      </c>
      <c r="K147" s="428">
        <f t="shared" si="28"/>
        <v>49340</v>
      </c>
      <c r="L147" s="286">
        <f t="shared" si="29"/>
        <v>0</v>
      </c>
      <c r="M147" s="286">
        <f t="shared" si="23"/>
        <v>0</v>
      </c>
      <c r="N147" s="285">
        <f t="shared" si="24"/>
        <v>0</v>
      </c>
      <c r="O147" s="427">
        <f t="shared" si="25"/>
        <v>0</v>
      </c>
      <c r="Q147" s="413"/>
      <c r="R147" s="274"/>
      <c r="S147" s="428"/>
      <c r="T147" s="286"/>
      <c r="U147" s="286"/>
      <c r="V147" s="285"/>
      <c r="W147" s="427"/>
    </row>
    <row r="148" spans="1:23" x14ac:dyDescent="0.15">
      <c r="A148" s="398"/>
      <c r="B148" s="272">
        <v>134</v>
      </c>
      <c r="C148" s="278">
        <f t="shared" si="26"/>
        <v>49368</v>
      </c>
      <c r="D148" s="280">
        <f t="shared" si="27"/>
        <v>0</v>
      </c>
      <c r="E148" s="280">
        <f t="shared" si="20"/>
        <v>0</v>
      </c>
      <c r="F148" s="280">
        <f t="shared" si="21"/>
        <v>0</v>
      </c>
      <c r="G148" s="404">
        <f t="shared" si="22"/>
        <v>0</v>
      </c>
      <c r="H148" s="281"/>
      <c r="I148" s="413"/>
      <c r="J148" s="274">
        <v>134</v>
      </c>
      <c r="K148" s="428">
        <f t="shared" si="28"/>
        <v>49368</v>
      </c>
      <c r="L148" s="286">
        <f t="shared" si="29"/>
        <v>0</v>
      </c>
      <c r="M148" s="286">
        <f t="shared" si="23"/>
        <v>0</v>
      </c>
      <c r="N148" s="285">
        <f t="shared" si="24"/>
        <v>0</v>
      </c>
      <c r="O148" s="427">
        <f t="shared" si="25"/>
        <v>0</v>
      </c>
      <c r="Q148" s="413"/>
      <c r="R148" s="274"/>
      <c r="S148" s="428"/>
      <c r="T148" s="286"/>
      <c r="U148" s="286"/>
      <c r="V148" s="285"/>
      <c r="W148" s="427"/>
    </row>
    <row r="149" spans="1:23" x14ac:dyDescent="0.15">
      <c r="A149" s="398"/>
      <c r="B149" s="272">
        <v>135</v>
      </c>
      <c r="C149" s="278">
        <f t="shared" si="26"/>
        <v>49399</v>
      </c>
      <c r="D149" s="280">
        <f t="shared" si="27"/>
        <v>0</v>
      </c>
      <c r="E149" s="280">
        <f t="shared" si="20"/>
        <v>0</v>
      </c>
      <c r="F149" s="280">
        <f t="shared" si="21"/>
        <v>0</v>
      </c>
      <c r="G149" s="404">
        <f t="shared" si="22"/>
        <v>0</v>
      </c>
      <c r="H149" s="281"/>
      <c r="I149" s="413"/>
      <c r="J149" s="274">
        <v>135</v>
      </c>
      <c r="K149" s="428">
        <f t="shared" si="28"/>
        <v>49399</v>
      </c>
      <c r="L149" s="286">
        <f t="shared" si="29"/>
        <v>0</v>
      </c>
      <c r="M149" s="286">
        <f t="shared" si="23"/>
        <v>0</v>
      </c>
      <c r="N149" s="285">
        <f t="shared" si="24"/>
        <v>0</v>
      </c>
      <c r="O149" s="427">
        <f t="shared" si="25"/>
        <v>0</v>
      </c>
      <c r="Q149" s="413"/>
      <c r="R149" s="274"/>
      <c r="S149" s="428"/>
      <c r="T149" s="286"/>
      <c r="U149" s="286"/>
      <c r="V149" s="285"/>
      <c r="W149" s="427"/>
    </row>
    <row r="150" spans="1:23" x14ac:dyDescent="0.15">
      <c r="A150" s="398"/>
      <c r="B150" s="272">
        <v>136</v>
      </c>
      <c r="C150" s="278">
        <f t="shared" si="26"/>
        <v>49429</v>
      </c>
      <c r="D150" s="280">
        <f t="shared" si="27"/>
        <v>0</v>
      </c>
      <c r="E150" s="280">
        <f t="shared" si="20"/>
        <v>0</v>
      </c>
      <c r="F150" s="280">
        <f t="shared" si="21"/>
        <v>0</v>
      </c>
      <c r="G150" s="404">
        <f t="shared" si="22"/>
        <v>0</v>
      </c>
      <c r="H150" s="281"/>
      <c r="I150" s="413"/>
      <c r="J150" s="274">
        <v>136</v>
      </c>
      <c r="K150" s="428">
        <f t="shared" si="28"/>
        <v>49429</v>
      </c>
      <c r="L150" s="286">
        <f t="shared" si="29"/>
        <v>0</v>
      </c>
      <c r="M150" s="286">
        <f t="shared" si="23"/>
        <v>0</v>
      </c>
      <c r="N150" s="285">
        <f t="shared" si="24"/>
        <v>0</v>
      </c>
      <c r="O150" s="427">
        <f t="shared" si="25"/>
        <v>0</v>
      </c>
      <c r="Q150" s="413"/>
      <c r="R150" s="274"/>
      <c r="S150" s="428"/>
      <c r="T150" s="286"/>
      <c r="U150" s="286"/>
      <c r="V150" s="285"/>
      <c r="W150" s="427"/>
    </row>
    <row r="151" spans="1:23" x14ac:dyDescent="0.15">
      <c r="A151" s="398"/>
      <c r="B151" s="272">
        <v>137</v>
      </c>
      <c r="C151" s="278">
        <f t="shared" si="26"/>
        <v>49460</v>
      </c>
      <c r="D151" s="280">
        <f t="shared" si="27"/>
        <v>0</v>
      </c>
      <c r="E151" s="280">
        <f t="shared" si="20"/>
        <v>0</v>
      </c>
      <c r="F151" s="280">
        <f t="shared" si="21"/>
        <v>0</v>
      </c>
      <c r="G151" s="404">
        <f t="shared" si="22"/>
        <v>0</v>
      </c>
      <c r="H151" s="281"/>
      <c r="I151" s="413"/>
      <c r="J151" s="274">
        <v>137</v>
      </c>
      <c r="K151" s="428">
        <f t="shared" si="28"/>
        <v>49460</v>
      </c>
      <c r="L151" s="286">
        <f t="shared" si="29"/>
        <v>0</v>
      </c>
      <c r="M151" s="286">
        <f t="shared" si="23"/>
        <v>0</v>
      </c>
      <c r="N151" s="285">
        <f t="shared" si="24"/>
        <v>0</v>
      </c>
      <c r="O151" s="427">
        <f t="shared" si="25"/>
        <v>0</v>
      </c>
      <c r="Q151" s="413"/>
      <c r="R151" s="274"/>
      <c r="S151" s="428"/>
      <c r="T151" s="286"/>
      <c r="U151" s="286"/>
      <c r="V151" s="285"/>
      <c r="W151" s="427"/>
    </row>
    <row r="152" spans="1:23" x14ac:dyDescent="0.15">
      <c r="A152" s="398"/>
      <c r="B152" s="272">
        <v>138</v>
      </c>
      <c r="C152" s="278">
        <f t="shared" si="26"/>
        <v>49490</v>
      </c>
      <c r="D152" s="280">
        <f t="shared" si="27"/>
        <v>0</v>
      </c>
      <c r="E152" s="280">
        <f t="shared" si="20"/>
        <v>0</v>
      </c>
      <c r="F152" s="280">
        <f t="shared" si="21"/>
        <v>0</v>
      </c>
      <c r="G152" s="404">
        <f t="shared" si="22"/>
        <v>0</v>
      </c>
      <c r="H152" s="281"/>
      <c r="I152" s="413"/>
      <c r="J152" s="274">
        <v>138</v>
      </c>
      <c r="K152" s="428">
        <f t="shared" si="28"/>
        <v>49490</v>
      </c>
      <c r="L152" s="286">
        <f t="shared" si="29"/>
        <v>0</v>
      </c>
      <c r="M152" s="286">
        <f t="shared" si="23"/>
        <v>0</v>
      </c>
      <c r="N152" s="285">
        <f t="shared" si="24"/>
        <v>0</v>
      </c>
      <c r="O152" s="427">
        <f t="shared" si="25"/>
        <v>0</v>
      </c>
      <c r="Q152" s="413"/>
      <c r="R152" s="274"/>
      <c r="S152" s="428"/>
      <c r="T152" s="286"/>
      <c r="U152" s="286"/>
      <c r="V152" s="285"/>
      <c r="W152" s="427"/>
    </row>
    <row r="153" spans="1:23" x14ac:dyDescent="0.15">
      <c r="A153" s="398"/>
      <c r="B153" s="272">
        <v>139</v>
      </c>
      <c r="C153" s="278">
        <f t="shared" si="26"/>
        <v>49521</v>
      </c>
      <c r="D153" s="280">
        <f t="shared" si="27"/>
        <v>0</v>
      </c>
      <c r="E153" s="280">
        <f t="shared" si="20"/>
        <v>0</v>
      </c>
      <c r="F153" s="280">
        <f t="shared" si="21"/>
        <v>0</v>
      </c>
      <c r="G153" s="404">
        <f t="shared" si="22"/>
        <v>0</v>
      </c>
      <c r="H153" s="281"/>
      <c r="I153" s="413"/>
      <c r="J153" s="274">
        <v>139</v>
      </c>
      <c r="K153" s="428">
        <f t="shared" si="28"/>
        <v>49521</v>
      </c>
      <c r="L153" s="286">
        <f t="shared" si="29"/>
        <v>0</v>
      </c>
      <c r="M153" s="286">
        <f t="shared" si="23"/>
        <v>0</v>
      </c>
      <c r="N153" s="285">
        <f t="shared" si="24"/>
        <v>0</v>
      </c>
      <c r="O153" s="427">
        <f t="shared" si="25"/>
        <v>0</v>
      </c>
      <c r="Q153" s="413"/>
      <c r="R153" s="274"/>
      <c r="S153" s="428"/>
      <c r="T153" s="286"/>
      <c r="U153" s="286"/>
      <c r="V153" s="285"/>
      <c r="W153" s="427"/>
    </row>
    <row r="154" spans="1:23" x14ac:dyDescent="0.15">
      <c r="A154" s="398"/>
      <c r="B154" s="272">
        <v>140</v>
      </c>
      <c r="C154" s="278">
        <f t="shared" si="26"/>
        <v>49552</v>
      </c>
      <c r="D154" s="280">
        <f t="shared" si="27"/>
        <v>0</v>
      </c>
      <c r="E154" s="280">
        <f t="shared" si="20"/>
        <v>0</v>
      </c>
      <c r="F154" s="280">
        <f t="shared" si="21"/>
        <v>0</v>
      </c>
      <c r="G154" s="404">
        <f t="shared" si="22"/>
        <v>0</v>
      </c>
      <c r="H154" s="281"/>
      <c r="I154" s="413"/>
      <c r="J154" s="274">
        <v>140</v>
      </c>
      <c r="K154" s="428">
        <f t="shared" si="28"/>
        <v>49552</v>
      </c>
      <c r="L154" s="286">
        <f t="shared" si="29"/>
        <v>0</v>
      </c>
      <c r="M154" s="286">
        <f t="shared" si="23"/>
        <v>0</v>
      </c>
      <c r="N154" s="285">
        <f t="shared" si="24"/>
        <v>0</v>
      </c>
      <c r="O154" s="427">
        <f t="shared" si="25"/>
        <v>0</v>
      </c>
      <c r="Q154" s="413"/>
      <c r="R154" s="274"/>
      <c r="S154" s="428"/>
      <c r="T154" s="286"/>
      <c r="U154" s="286"/>
      <c r="V154" s="285"/>
      <c r="W154" s="427"/>
    </row>
    <row r="155" spans="1:23" x14ac:dyDescent="0.15">
      <c r="A155" s="398"/>
      <c r="B155" s="272">
        <v>141</v>
      </c>
      <c r="C155" s="278">
        <f t="shared" si="26"/>
        <v>49582</v>
      </c>
      <c r="D155" s="280">
        <f t="shared" si="27"/>
        <v>0</v>
      </c>
      <c r="E155" s="280">
        <f t="shared" si="20"/>
        <v>0</v>
      </c>
      <c r="F155" s="280">
        <f t="shared" si="21"/>
        <v>0</v>
      </c>
      <c r="G155" s="404">
        <f t="shared" si="22"/>
        <v>0</v>
      </c>
      <c r="H155" s="281"/>
      <c r="I155" s="413"/>
      <c r="J155" s="274">
        <v>141</v>
      </c>
      <c r="K155" s="428">
        <f t="shared" si="28"/>
        <v>49582</v>
      </c>
      <c r="L155" s="286">
        <f t="shared" si="29"/>
        <v>0</v>
      </c>
      <c r="M155" s="286">
        <f t="shared" si="23"/>
        <v>0</v>
      </c>
      <c r="N155" s="285">
        <f t="shared" si="24"/>
        <v>0</v>
      </c>
      <c r="O155" s="427">
        <f t="shared" si="25"/>
        <v>0</v>
      </c>
      <c r="Q155" s="413"/>
      <c r="R155" s="274"/>
      <c r="S155" s="428"/>
      <c r="T155" s="286"/>
      <c r="U155" s="286"/>
      <c r="V155" s="285"/>
      <c r="W155" s="427"/>
    </row>
    <row r="156" spans="1:23" x14ac:dyDescent="0.15">
      <c r="A156" s="398"/>
      <c r="B156" s="272">
        <v>142</v>
      </c>
      <c r="C156" s="278">
        <f t="shared" si="26"/>
        <v>49613</v>
      </c>
      <c r="D156" s="280">
        <f t="shared" si="27"/>
        <v>0</v>
      </c>
      <c r="E156" s="280">
        <f t="shared" si="20"/>
        <v>0</v>
      </c>
      <c r="F156" s="280">
        <f t="shared" si="21"/>
        <v>0</v>
      </c>
      <c r="G156" s="404">
        <f t="shared" si="22"/>
        <v>0</v>
      </c>
      <c r="H156" s="281"/>
      <c r="I156" s="413"/>
      <c r="J156" s="274">
        <v>142</v>
      </c>
      <c r="K156" s="428">
        <f t="shared" si="28"/>
        <v>49613</v>
      </c>
      <c r="L156" s="286">
        <f t="shared" si="29"/>
        <v>0</v>
      </c>
      <c r="M156" s="286">
        <f t="shared" si="23"/>
        <v>0</v>
      </c>
      <c r="N156" s="285">
        <f t="shared" si="24"/>
        <v>0</v>
      </c>
      <c r="O156" s="427">
        <f t="shared" si="25"/>
        <v>0</v>
      </c>
      <c r="Q156" s="413"/>
      <c r="R156" s="274"/>
      <c r="S156" s="428"/>
      <c r="T156" s="286"/>
      <c r="U156" s="286"/>
      <c r="V156" s="285"/>
      <c r="W156" s="427"/>
    </row>
    <row r="157" spans="1:23" x14ac:dyDescent="0.15">
      <c r="A157" s="398"/>
      <c r="B157" s="272">
        <v>143</v>
      </c>
      <c r="C157" s="278">
        <f t="shared" si="26"/>
        <v>49643</v>
      </c>
      <c r="D157" s="280">
        <f t="shared" si="27"/>
        <v>0</v>
      </c>
      <c r="E157" s="280">
        <f t="shared" si="20"/>
        <v>0</v>
      </c>
      <c r="F157" s="280">
        <f t="shared" si="21"/>
        <v>0</v>
      </c>
      <c r="G157" s="404">
        <f t="shared" si="22"/>
        <v>0</v>
      </c>
      <c r="H157" s="281"/>
      <c r="I157" s="413"/>
      <c r="J157" s="274">
        <v>143</v>
      </c>
      <c r="K157" s="428">
        <f t="shared" si="28"/>
        <v>49643</v>
      </c>
      <c r="L157" s="286">
        <f t="shared" si="29"/>
        <v>0</v>
      </c>
      <c r="M157" s="286">
        <f t="shared" si="23"/>
        <v>0</v>
      </c>
      <c r="N157" s="285">
        <f t="shared" si="24"/>
        <v>0</v>
      </c>
      <c r="O157" s="427">
        <f t="shared" si="25"/>
        <v>0</v>
      </c>
      <c r="Q157" s="413"/>
      <c r="R157" s="274"/>
      <c r="S157" s="428"/>
      <c r="T157" s="286"/>
      <c r="U157" s="286"/>
      <c r="V157" s="285"/>
      <c r="W157" s="427"/>
    </row>
    <row r="158" spans="1:23" x14ac:dyDescent="0.15">
      <c r="A158" s="398"/>
      <c r="B158" s="272">
        <v>144</v>
      </c>
      <c r="C158" s="278">
        <f t="shared" si="26"/>
        <v>49674</v>
      </c>
      <c r="D158" s="280">
        <f t="shared" si="27"/>
        <v>0</v>
      </c>
      <c r="E158" s="280">
        <f t="shared" si="20"/>
        <v>0</v>
      </c>
      <c r="F158" s="280">
        <f t="shared" si="21"/>
        <v>0</v>
      </c>
      <c r="G158" s="404">
        <f t="shared" si="22"/>
        <v>0</v>
      </c>
      <c r="H158" s="281"/>
      <c r="I158" s="413"/>
      <c r="J158" s="274">
        <v>144</v>
      </c>
      <c r="K158" s="428">
        <f t="shared" si="28"/>
        <v>49674</v>
      </c>
      <c r="L158" s="286">
        <f t="shared" si="29"/>
        <v>0</v>
      </c>
      <c r="M158" s="286">
        <f t="shared" si="23"/>
        <v>0</v>
      </c>
      <c r="N158" s="285">
        <f t="shared" si="24"/>
        <v>0</v>
      </c>
      <c r="O158" s="427">
        <f t="shared" si="25"/>
        <v>0</v>
      </c>
      <c r="Q158" s="413"/>
      <c r="R158" s="274"/>
      <c r="S158" s="428"/>
      <c r="T158" s="286"/>
      <c r="U158" s="286"/>
      <c r="V158" s="285"/>
      <c r="W158" s="427"/>
    </row>
    <row r="159" spans="1:23" x14ac:dyDescent="0.15">
      <c r="A159" s="398"/>
      <c r="B159" s="272">
        <v>145</v>
      </c>
      <c r="C159" s="278">
        <f t="shared" si="26"/>
        <v>49705</v>
      </c>
      <c r="D159" s="280">
        <f t="shared" si="27"/>
        <v>0</v>
      </c>
      <c r="E159" s="280">
        <f t="shared" si="20"/>
        <v>0</v>
      </c>
      <c r="F159" s="280">
        <f t="shared" si="21"/>
        <v>0</v>
      </c>
      <c r="G159" s="404">
        <f t="shared" si="22"/>
        <v>0</v>
      </c>
      <c r="H159" s="281"/>
      <c r="I159" s="413"/>
      <c r="J159" s="274">
        <v>145</v>
      </c>
      <c r="K159" s="428">
        <f t="shared" si="28"/>
        <v>49705</v>
      </c>
      <c r="L159" s="286">
        <f t="shared" si="29"/>
        <v>0</v>
      </c>
      <c r="M159" s="286">
        <f t="shared" si="23"/>
        <v>0</v>
      </c>
      <c r="N159" s="285">
        <f t="shared" si="24"/>
        <v>0</v>
      </c>
      <c r="O159" s="427">
        <f t="shared" si="25"/>
        <v>0</v>
      </c>
      <c r="Q159" s="413"/>
      <c r="R159" s="274"/>
      <c r="S159" s="428"/>
      <c r="T159" s="286"/>
      <c r="U159" s="286"/>
      <c r="V159" s="285"/>
      <c r="W159" s="427"/>
    </row>
    <row r="160" spans="1:23" x14ac:dyDescent="0.15">
      <c r="A160" s="398"/>
      <c r="B160" s="272">
        <v>146</v>
      </c>
      <c r="C160" s="278">
        <f t="shared" si="26"/>
        <v>49734</v>
      </c>
      <c r="D160" s="280">
        <f t="shared" si="27"/>
        <v>0</v>
      </c>
      <c r="E160" s="280">
        <f t="shared" si="20"/>
        <v>0</v>
      </c>
      <c r="F160" s="280">
        <f t="shared" si="21"/>
        <v>0</v>
      </c>
      <c r="G160" s="404">
        <f t="shared" si="22"/>
        <v>0</v>
      </c>
      <c r="H160" s="281"/>
      <c r="I160" s="413"/>
      <c r="J160" s="274">
        <v>146</v>
      </c>
      <c r="K160" s="428">
        <f t="shared" si="28"/>
        <v>49734</v>
      </c>
      <c r="L160" s="286">
        <f t="shared" si="29"/>
        <v>0</v>
      </c>
      <c r="M160" s="286">
        <f t="shared" si="23"/>
        <v>0</v>
      </c>
      <c r="N160" s="285">
        <f t="shared" si="24"/>
        <v>0</v>
      </c>
      <c r="O160" s="427">
        <f t="shared" si="25"/>
        <v>0</v>
      </c>
      <c r="Q160" s="413"/>
      <c r="R160" s="274"/>
      <c r="S160" s="428"/>
      <c r="T160" s="286"/>
      <c r="U160" s="286"/>
      <c r="V160" s="285"/>
      <c r="W160" s="427"/>
    </row>
    <row r="161" spans="1:23" x14ac:dyDescent="0.15">
      <c r="A161" s="398"/>
      <c r="B161" s="272">
        <v>147</v>
      </c>
      <c r="C161" s="278">
        <f t="shared" si="26"/>
        <v>49765</v>
      </c>
      <c r="D161" s="280">
        <f t="shared" si="27"/>
        <v>0</v>
      </c>
      <c r="E161" s="280">
        <f t="shared" si="20"/>
        <v>0</v>
      </c>
      <c r="F161" s="280">
        <f t="shared" si="21"/>
        <v>0</v>
      </c>
      <c r="G161" s="404">
        <f t="shared" si="22"/>
        <v>0</v>
      </c>
      <c r="H161" s="281"/>
      <c r="I161" s="413"/>
      <c r="J161" s="274">
        <v>147</v>
      </c>
      <c r="K161" s="428">
        <f t="shared" si="28"/>
        <v>49765</v>
      </c>
      <c r="L161" s="286">
        <f t="shared" si="29"/>
        <v>0</v>
      </c>
      <c r="M161" s="286">
        <f t="shared" si="23"/>
        <v>0</v>
      </c>
      <c r="N161" s="285">
        <f t="shared" si="24"/>
        <v>0</v>
      </c>
      <c r="O161" s="427">
        <f t="shared" si="25"/>
        <v>0</v>
      </c>
      <c r="Q161" s="413"/>
      <c r="R161" s="274"/>
      <c r="S161" s="428"/>
      <c r="T161" s="286"/>
      <c r="U161" s="286"/>
      <c r="V161" s="285"/>
      <c r="W161" s="427"/>
    </row>
    <row r="162" spans="1:23" x14ac:dyDescent="0.15">
      <c r="A162" s="398"/>
      <c r="B162" s="272">
        <v>148</v>
      </c>
      <c r="C162" s="278">
        <f t="shared" si="26"/>
        <v>49795</v>
      </c>
      <c r="D162" s="280">
        <f t="shared" si="27"/>
        <v>0</v>
      </c>
      <c r="E162" s="280">
        <f t="shared" si="20"/>
        <v>0</v>
      </c>
      <c r="F162" s="280">
        <f t="shared" si="21"/>
        <v>0</v>
      </c>
      <c r="G162" s="404">
        <f t="shared" si="22"/>
        <v>0</v>
      </c>
      <c r="H162" s="281"/>
      <c r="I162" s="413"/>
      <c r="J162" s="274">
        <v>148</v>
      </c>
      <c r="K162" s="428">
        <f t="shared" si="28"/>
        <v>49795</v>
      </c>
      <c r="L162" s="286">
        <f t="shared" si="29"/>
        <v>0</v>
      </c>
      <c r="M162" s="286">
        <f t="shared" si="23"/>
        <v>0</v>
      </c>
      <c r="N162" s="285">
        <f t="shared" si="24"/>
        <v>0</v>
      </c>
      <c r="O162" s="427">
        <f t="shared" si="25"/>
        <v>0</v>
      </c>
      <c r="Q162" s="413"/>
      <c r="R162" s="274"/>
      <c r="S162" s="428"/>
      <c r="T162" s="286"/>
      <c r="U162" s="286"/>
      <c r="V162" s="285"/>
      <c r="W162" s="427"/>
    </row>
    <row r="163" spans="1:23" x14ac:dyDescent="0.15">
      <c r="A163" s="398"/>
      <c r="B163" s="272">
        <v>149</v>
      </c>
      <c r="C163" s="278">
        <f t="shared" si="26"/>
        <v>49826</v>
      </c>
      <c r="D163" s="280">
        <f t="shared" si="27"/>
        <v>0</v>
      </c>
      <c r="E163" s="280">
        <f t="shared" si="20"/>
        <v>0</v>
      </c>
      <c r="F163" s="280">
        <f t="shared" si="21"/>
        <v>0</v>
      </c>
      <c r="G163" s="404">
        <f t="shared" si="22"/>
        <v>0</v>
      </c>
      <c r="H163" s="281"/>
      <c r="I163" s="413"/>
      <c r="J163" s="274">
        <v>149</v>
      </c>
      <c r="K163" s="428">
        <f t="shared" si="28"/>
        <v>49826</v>
      </c>
      <c r="L163" s="286">
        <f t="shared" si="29"/>
        <v>0</v>
      </c>
      <c r="M163" s="286">
        <f t="shared" si="23"/>
        <v>0</v>
      </c>
      <c r="N163" s="285">
        <f t="shared" si="24"/>
        <v>0</v>
      </c>
      <c r="O163" s="427">
        <f t="shared" si="25"/>
        <v>0</v>
      </c>
      <c r="Q163" s="413"/>
      <c r="R163" s="274"/>
      <c r="S163" s="428"/>
      <c r="T163" s="286"/>
      <c r="U163" s="286"/>
      <c r="V163" s="285"/>
      <c r="W163" s="427"/>
    </row>
    <row r="164" spans="1:23" x14ac:dyDescent="0.15">
      <c r="A164" s="398"/>
      <c r="B164" s="272">
        <v>150</v>
      </c>
      <c r="C164" s="278">
        <f t="shared" si="26"/>
        <v>49856</v>
      </c>
      <c r="D164" s="280">
        <f t="shared" si="27"/>
        <v>0</v>
      </c>
      <c r="E164" s="280">
        <f t="shared" si="20"/>
        <v>0</v>
      </c>
      <c r="F164" s="280">
        <f t="shared" si="21"/>
        <v>0</v>
      </c>
      <c r="G164" s="404">
        <f t="shared" si="22"/>
        <v>0</v>
      </c>
      <c r="H164" s="281"/>
      <c r="I164" s="413"/>
      <c r="J164" s="274">
        <v>150</v>
      </c>
      <c r="K164" s="428">
        <f t="shared" si="28"/>
        <v>49856</v>
      </c>
      <c r="L164" s="286">
        <f t="shared" si="29"/>
        <v>0</v>
      </c>
      <c r="M164" s="286">
        <f t="shared" si="23"/>
        <v>0</v>
      </c>
      <c r="N164" s="285">
        <f t="shared" si="24"/>
        <v>0</v>
      </c>
      <c r="O164" s="427">
        <f t="shared" si="25"/>
        <v>0</v>
      </c>
      <c r="Q164" s="413"/>
      <c r="R164" s="274"/>
      <c r="S164" s="428"/>
      <c r="T164" s="286"/>
      <c r="U164" s="286"/>
      <c r="V164" s="285"/>
      <c r="W164" s="427"/>
    </row>
    <row r="165" spans="1:23" x14ac:dyDescent="0.15">
      <c r="A165" s="398"/>
      <c r="B165" s="272">
        <v>151</v>
      </c>
      <c r="C165" s="278">
        <f t="shared" si="26"/>
        <v>49887</v>
      </c>
      <c r="D165" s="280">
        <f t="shared" si="27"/>
        <v>0</v>
      </c>
      <c r="E165" s="280">
        <f t="shared" si="20"/>
        <v>0</v>
      </c>
      <c r="F165" s="280">
        <f t="shared" si="21"/>
        <v>0</v>
      </c>
      <c r="G165" s="404">
        <f t="shared" si="22"/>
        <v>0</v>
      </c>
      <c r="H165" s="281"/>
      <c r="I165" s="413"/>
      <c r="J165" s="274">
        <v>151</v>
      </c>
      <c r="K165" s="428">
        <f t="shared" si="28"/>
        <v>49887</v>
      </c>
      <c r="L165" s="286">
        <f t="shared" si="29"/>
        <v>0</v>
      </c>
      <c r="M165" s="286">
        <f t="shared" si="23"/>
        <v>0</v>
      </c>
      <c r="N165" s="285">
        <f t="shared" si="24"/>
        <v>0</v>
      </c>
      <c r="O165" s="427">
        <f t="shared" si="25"/>
        <v>0</v>
      </c>
      <c r="Q165" s="413"/>
      <c r="R165" s="274"/>
      <c r="S165" s="428"/>
      <c r="T165" s="286"/>
      <c r="U165" s="286"/>
      <c r="V165" s="285"/>
      <c r="W165" s="427"/>
    </row>
    <row r="166" spans="1:23" x14ac:dyDescent="0.15">
      <c r="A166" s="398"/>
      <c r="B166" s="272">
        <v>152</v>
      </c>
      <c r="C166" s="278">
        <f t="shared" si="26"/>
        <v>49918</v>
      </c>
      <c r="D166" s="280">
        <f t="shared" si="27"/>
        <v>0</v>
      </c>
      <c r="E166" s="280">
        <f t="shared" si="20"/>
        <v>0</v>
      </c>
      <c r="F166" s="280">
        <f t="shared" si="21"/>
        <v>0</v>
      </c>
      <c r="G166" s="404">
        <f t="shared" si="22"/>
        <v>0</v>
      </c>
      <c r="H166" s="281"/>
      <c r="I166" s="413"/>
      <c r="J166" s="274">
        <v>152</v>
      </c>
      <c r="K166" s="428">
        <f t="shared" si="28"/>
        <v>49918</v>
      </c>
      <c r="L166" s="286">
        <f t="shared" si="29"/>
        <v>0</v>
      </c>
      <c r="M166" s="286">
        <f t="shared" si="23"/>
        <v>0</v>
      </c>
      <c r="N166" s="285">
        <f t="shared" si="24"/>
        <v>0</v>
      </c>
      <c r="O166" s="427">
        <f t="shared" si="25"/>
        <v>0</v>
      </c>
      <c r="Q166" s="413"/>
      <c r="R166" s="274"/>
      <c r="S166" s="428"/>
      <c r="T166" s="286"/>
      <c r="U166" s="286"/>
      <c r="V166" s="285"/>
      <c r="W166" s="427"/>
    </row>
    <row r="167" spans="1:23" x14ac:dyDescent="0.15">
      <c r="A167" s="398"/>
      <c r="B167" s="272">
        <v>153</v>
      </c>
      <c r="C167" s="278">
        <f t="shared" si="26"/>
        <v>49948</v>
      </c>
      <c r="D167" s="280">
        <f t="shared" si="27"/>
        <v>0</v>
      </c>
      <c r="E167" s="280">
        <f t="shared" si="20"/>
        <v>0</v>
      </c>
      <c r="F167" s="280">
        <f t="shared" si="21"/>
        <v>0</v>
      </c>
      <c r="G167" s="404">
        <f t="shared" si="22"/>
        <v>0</v>
      </c>
      <c r="H167" s="281"/>
      <c r="I167" s="413"/>
      <c r="J167" s="274">
        <v>153</v>
      </c>
      <c r="K167" s="428">
        <f t="shared" si="28"/>
        <v>49948</v>
      </c>
      <c r="L167" s="286">
        <f t="shared" si="29"/>
        <v>0</v>
      </c>
      <c r="M167" s="286">
        <f t="shared" si="23"/>
        <v>0</v>
      </c>
      <c r="N167" s="285">
        <f t="shared" si="24"/>
        <v>0</v>
      </c>
      <c r="O167" s="427">
        <f t="shared" si="25"/>
        <v>0</v>
      </c>
      <c r="Q167" s="413"/>
      <c r="R167" s="274"/>
      <c r="S167" s="428"/>
      <c r="T167" s="286"/>
      <c r="U167" s="286"/>
      <c r="V167" s="285"/>
      <c r="W167" s="427"/>
    </row>
    <row r="168" spans="1:23" x14ac:dyDescent="0.15">
      <c r="A168" s="398"/>
      <c r="B168" s="272">
        <v>154</v>
      </c>
      <c r="C168" s="278">
        <f t="shared" si="26"/>
        <v>49979</v>
      </c>
      <c r="D168" s="280">
        <f t="shared" si="27"/>
        <v>0</v>
      </c>
      <c r="E168" s="280">
        <f t="shared" si="20"/>
        <v>0</v>
      </c>
      <c r="F168" s="280">
        <f t="shared" si="21"/>
        <v>0</v>
      </c>
      <c r="G168" s="404">
        <f t="shared" si="22"/>
        <v>0</v>
      </c>
      <c r="H168" s="281"/>
      <c r="I168" s="413"/>
      <c r="J168" s="274">
        <v>154</v>
      </c>
      <c r="K168" s="428">
        <f t="shared" si="28"/>
        <v>49979</v>
      </c>
      <c r="L168" s="286">
        <f t="shared" si="29"/>
        <v>0</v>
      </c>
      <c r="M168" s="286">
        <f t="shared" si="23"/>
        <v>0</v>
      </c>
      <c r="N168" s="285">
        <f t="shared" si="24"/>
        <v>0</v>
      </c>
      <c r="O168" s="427">
        <f t="shared" si="25"/>
        <v>0</v>
      </c>
      <c r="Q168" s="413"/>
      <c r="R168" s="274"/>
      <c r="S168" s="428"/>
      <c r="T168" s="286"/>
      <c r="U168" s="286"/>
      <c r="V168" s="285"/>
      <c r="W168" s="427"/>
    </row>
    <row r="169" spans="1:23" x14ac:dyDescent="0.15">
      <c r="A169" s="398"/>
      <c r="B169" s="272">
        <v>155</v>
      </c>
      <c r="C169" s="278">
        <f t="shared" si="26"/>
        <v>50009</v>
      </c>
      <c r="D169" s="280">
        <f t="shared" si="27"/>
        <v>0</v>
      </c>
      <c r="E169" s="280">
        <f t="shared" si="20"/>
        <v>0</v>
      </c>
      <c r="F169" s="280">
        <f t="shared" si="21"/>
        <v>0</v>
      </c>
      <c r="G169" s="404">
        <f t="shared" si="22"/>
        <v>0</v>
      </c>
      <c r="H169" s="281"/>
      <c r="I169" s="413"/>
      <c r="J169" s="274">
        <v>155</v>
      </c>
      <c r="K169" s="428">
        <f t="shared" si="28"/>
        <v>50009</v>
      </c>
      <c r="L169" s="286">
        <f t="shared" si="29"/>
        <v>0</v>
      </c>
      <c r="M169" s="286">
        <f t="shared" si="23"/>
        <v>0</v>
      </c>
      <c r="N169" s="285">
        <f t="shared" si="24"/>
        <v>0</v>
      </c>
      <c r="O169" s="427">
        <f t="shared" si="25"/>
        <v>0</v>
      </c>
      <c r="Q169" s="413"/>
      <c r="R169" s="274"/>
      <c r="S169" s="428"/>
      <c r="T169" s="286"/>
      <c r="U169" s="286"/>
      <c r="V169" s="285"/>
      <c r="W169" s="427"/>
    </row>
    <row r="170" spans="1:23" x14ac:dyDescent="0.15">
      <c r="A170" s="398"/>
      <c r="B170" s="272">
        <v>156</v>
      </c>
      <c r="C170" s="278">
        <f t="shared" si="26"/>
        <v>50040</v>
      </c>
      <c r="D170" s="280">
        <f t="shared" si="27"/>
        <v>0</v>
      </c>
      <c r="E170" s="280">
        <f t="shared" si="20"/>
        <v>0</v>
      </c>
      <c r="F170" s="280">
        <f t="shared" si="21"/>
        <v>0</v>
      </c>
      <c r="G170" s="404">
        <f t="shared" si="22"/>
        <v>0</v>
      </c>
      <c r="H170" s="281"/>
      <c r="I170" s="413"/>
      <c r="J170" s="274">
        <v>156</v>
      </c>
      <c r="K170" s="428">
        <f t="shared" si="28"/>
        <v>50040</v>
      </c>
      <c r="L170" s="286">
        <f t="shared" si="29"/>
        <v>0</v>
      </c>
      <c r="M170" s="286">
        <f t="shared" si="23"/>
        <v>0</v>
      </c>
      <c r="N170" s="285">
        <f t="shared" si="24"/>
        <v>0</v>
      </c>
      <c r="O170" s="427">
        <f t="shared" si="25"/>
        <v>0</v>
      </c>
      <c r="Q170" s="413"/>
      <c r="R170" s="274"/>
      <c r="S170" s="428"/>
      <c r="T170" s="286"/>
      <c r="U170" s="286"/>
      <c r="V170" s="285"/>
      <c r="W170" s="427"/>
    </row>
    <row r="171" spans="1:23" x14ac:dyDescent="0.15">
      <c r="A171" s="398"/>
      <c r="B171" s="272">
        <v>157</v>
      </c>
      <c r="C171" s="278">
        <f t="shared" si="26"/>
        <v>50071</v>
      </c>
      <c r="D171" s="280">
        <f t="shared" si="27"/>
        <v>0</v>
      </c>
      <c r="E171" s="280">
        <f t="shared" si="20"/>
        <v>0</v>
      </c>
      <c r="F171" s="280">
        <f t="shared" si="21"/>
        <v>0</v>
      </c>
      <c r="G171" s="404">
        <f t="shared" si="22"/>
        <v>0</v>
      </c>
      <c r="H171" s="281"/>
      <c r="I171" s="413"/>
      <c r="J171" s="274">
        <v>157</v>
      </c>
      <c r="K171" s="428">
        <f t="shared" si="28"/>
        <v>50071</v>
      </c>
      <c r="L171" s="286">
        <f t="shared" si="29"/>
        <v>0</v>
      </c>
      <c r="M171" s="286">
        <f t="shared" si="23"/>
        <v>0</v>
      </c>
      <c r="N171" s="285">
        <f t="shared" si="24"/>
        <v>0</v>
      </c>
      <c r="O171" s="427">
        <f t="shared" si="25"/>
        <v>0</v>
      </c>
      <c r="Q171" s="413"/>
      <c r="R171" s="274"/>
      <c r="S171" s="428"/>
      <c r="T171" s="286"/>
      <c r="U171" s="286"/>
      <c r="V171" s="285"/>
      <c r="W171" s="427"/>
    </row>
    <row r="172" spans="1:23" x14ac:dyDescent="0.15">
      <c r="A172" s="398"/>
      <c r="B172" s="272">
        <v>158</v>
      </c>
      <c r="C172" s="278">
        <f t="shared" si="26"/>
        <v>50099</v>
      </c>
      <c r="D172" s="280">
        <f t="shared" si="27"/>
        <v>0</v>
      </c>
      <c r="E172" s="280">
        <f t="shared" si="20"/>
        <v>0</v>
      </c>
      <c r="F172" s="280">
        <f t="shared" si="21"/>
        <v>0</v>
      </c>
      <c r="G172" s="404">
        <f t="shared" si="22"/>
        <v>0</v>
      </c>
      <c r="H172" s="281"/>
      <c r="I172" s="413"/>
      <c r="J172" s="274">
        <v>158</v>
      </c>
      <c r="K172" s="428">
        <f t="shared" si="28"/>
        <v>50099</v>
      </c>
      <c r="L172" s="286">
        <f t="shared" si="29"/>
        <v>0</v>
      </c>
      <c r="M172" s="286">
        <f t="shared" si="23"/>
        <v>0</v>
      </c>
      <c r="N172" s="285">
        <f t="shared" si="24"/>
        <v>0</v>
      </c>
      <c r="O172" s="427">
        <f t="shared" si="25"/>
        <v>0</v>
      </c>
      <c r="Q172" s="413"/>
      <c r="R172" s="274"/>
      <c r="S172" s="428"/>
      <c r="T172" s="286"/>
      <c r="U172" s="286"/>
      <c r="V172" s="285"/>
      <c r="W172" s="427"/>
    </row>
    <row r="173" spans="1:23" x14ac:dyDescent="0.15">
      <c r="A173" s="398"/>
      <c r="B173" s="272">
        <v>159</v>
      </c>
      <c r="C173" s="278">
        <f t="shared" si="26"/>
        <v>50130</v>
      </c>
      <c r="D173" s="280">
        <f t="shared" si="27"/>
        <v>0</v>
      </c>
      <c r="E173" s="280">
        <f t="shared" si="20"/>
        <v>0</v>
      </c>
      <c r="F173" s="280">
        <f t="shared" si="21"/>
        <v>0</v>
      </c>
      <c r="G173" s="404">
        <f t="shared" si="22"/>
        <v>0</v>
      </c>
      <c r="H173" s="281"/>
      <c r="I173" s="413"/>
      <c r="J173" s="274">
        <v>159</v>
      </c>
      <c r="K173" s="428">
        <f t="shared" si="28"/>
        <v>50130</v>
      </c>
      <c r="L173" s="286">
        <f t="shared" si="29"/>
        <v>0</v>
      </c>
      <c r="M173" s="286">
        <f t="shared" si="23"/>
        <v>0</v>
      </c>
      <c r="N173" s="285">
        <f t="shared" si="24"/>
        <v>0</v>
      </c>
      <c r="O173" s="427">
        <f t="shared" si="25"/>
        <v>0</v>
      </c>
      <c r="Q173" s="413"/>
      <c r="R173" s="274"/>
      <c r="S173" s="428"/>
      <c r="T173" s="286"/>
      <c r="U173" s="286"/>
      <c r="V173" s="285"/>
      <c r="W173" s="427"/>
    </row>
    <row r="174" spans="1:23" x14ac:dyDescent="0.15">
      <c r="A174" s="398"/>
      <c r="B174" s="272">
        <v>160</v>
      </c>
      <c r="C174" s="278">
        <f t="shared" si="26"/>
        <v>50160</v>
      </c>
      <c r="D174" s="280">
        <f t="shared" si="27"/>
        <v>0</v>
      </c>
      <c r="E174" s="280">
        <f t="shared" si="20"/>
        <v>0</v>
      </c>
      <c r="F174" s="280">
        <f t="shared" si="21"/>
        <v>0</v>
      </c>
      <c r="G174" s="404">
        <f t="shared" si="22"/>
        <v>0</v>
      </c>
      <c r="H174" s="281"/>
      <c r="I174" s="413"/>
      <c r="J174" s="274">
        <v>160</v>
      </c>
      <c r="K174" s="428">
        <f t="shared" si="28"/>
        <v>50160</v>
      </c>
      <c r="L174" s="286">
        <f t="shared" si="29"/>
        <v>0</v>
      </c>
      <c r="M174" s="286">
        <f t="shared" si="23"/>
        <v>0</v>
      </c>
      <c r="N174" s="285">
        <f t="shared" si="24"/>
        <v>0</v>
      </c>
      <c r="O174" s="427">
        <f t="shared" si="25"/>
        <v>0</v>
      </c>
      <c r="Q174" s="413"/>
      <c r="R174" s="274"/>
      <c r="S174" s="428"/>
      <c r="T174" s="286"/>
      <c r="U174" s="286"/>
      <c r="V174" s="285"/>
      <c r="W174" s="427"/>
    </row>
    <row r="175" spans="1:23" x14ac:dyDescent="0.15">
      <c r="A175" s="398"/>
      <c r="B175" s="272">
        <v>161</v>
      </c>
      <c r="C175" s="278">
        <f t="shared" si="26"/>
        <v>50191</v>
      </c>
      <c r="D175" s="280">
        <f t="shared" si="27"/>
        <v>0</v>
      </c>
      <c r="E175" s="280">
        <f t="shared" si="20"/>
        <v>0</v>
      </c>
      <c r="F175" s="280">
        <f t="shared" si="21"/>
        <v>0</v>
      </c>
      <c r="G175" s="404">
        <f t="shared" si="22"/>
        <v>0</v>
      </c>
      <c r="H175" s="281"/>
      <c r="I175" s="413"/>
      <c r="J175" s="274">
        <v>161</v>
      </c>
      <c r="K175" s="428">
        <f t="shared" si="28"/>
        <v>50191</v>
      </c>
      <c r="L175" s="286">
        <f t="shared" si="29"/>
        <v>0</v>
      </c>
      <c r="M175" s="286">
        <f t="shared" si="23"/>
        <v>0</v>
      </c>
      <c r="N175" s="285">
        <f t="shared" si="24"/>
        <v>0</v>
      </c>
      <c r="O175" s="427">
        <f t="shared" si="25"/>
        <v>0</v>
      </c>
      <c r="Q175" s="413"/>
      <c r="R175" s="274"/>
      <c r="S175" s="428"/>
      <c r="T175" s="286"/>
      <c r="U175" s="286"/>
      <c r="V175" s="285"/>
      <c r="W175" s="427"/>
    </row>
    <row r="176" spans="1:23" x14ac:dyDescent="0.15">
      <c r="A176" s="398"/>
      <c r="B176" s="272">
        <v>162</v>
      </c>
      <c r="C176" s="278">
        <f t="shared" si="26"/>
        <v>50221</v>
      </c>
      <c r="D176" s="280">
        <f t="shared" si="27"/>
        <v>0</v>
      </c>
      <c r="E176" s="280">
        <f t="shared" si="20"/>
        <v>0</v>
      </c>
      <c r="F176" s="280">
        <f t="shared" si="21"/>
        <v>0</v>
      </c>
      <c r="G176" s="404">
        <f t="shared" si="22"/>
        <v>0</v>
      </c>
      <c r="H176" s="281"/>
      <c r="I176" s="413"/>
      <c r="J176" s="274">
        <v>162</v>
      </c>
      <c r="K176" s="428">
        <f t="shared" si="28"/>
        <v>50221</v>
      </c>
      <c r="L176" s="286">
        <f t="shared" si="29"/>
        <v>0</v>
      </c>
      <c r="M176" s="286">
        <f t="shared" si="23"/>
        <v>0</v>
      </c>
      <c r="N176" s="285">
        <f t="shared" si="24"/>
        <v>0</v>
      </c>
      <c r="O176" s="427">
        <f t="shared" si="25"/>
        <v>0</v>
      </c>
      <c r="Q176" s="413"/>
      <c r="R176" s="274"/>
      <c r="S176" s="428"/>
      <c r="T176" s="286"/>
      <c r="U176" s="286"/>
      <c r="V176" s="285"/>
      <c r="W176" s="427"/>
    </row>
    <row r="177" spans="1:23" x14ac:dyDescent="0.15">
      <c r="A177" s="398"/>
      <c r="B177" s="272">
        <v>163</v>
      </c>
      <c r="C177" s="278">
        <f t="shared" si="26"/>
        <v>50252</v>
      </c>
      <c r="D177" s="280">
        <f t="shared" si="27"/>
        <v>0</v>
      </c>
      <c r="E177" s="280">
        <f t="shared" si="20"/>
        <v>0</v>
      </c>
      <c r="F177" s="280">
        <f t="shared" si="21"/>
        <v>0</v>
      </c>
      <c r="G177" s="404">
        <f t="shared" si="22"/>
        <v>0</v>
      </c>
      <c r="H177" s="281"/>
      <c r="I177" s="413"/>
      <c r="J177" s="274">
        <v>163</v>
      </c>
      <c r="K177" s="428">
        <f t="shared" si="28"/>
        <v>50252</v>
      </c>
      <c r="L177" s="286">
        <f t="shared" si="29"/>
        <v>0</v>
      </c>
      <c r="M177" s="286">
        <f t="shared" si="23"/>
        <v>0</v>
      </c>
      <c r="N177" s="285">
        <f t="shared" si="24"/>
        <v>0</v>
      </c>
      <c r="O177" s="427">
        <f t="shared" si="25"/>
        <v>0</v>
      </c>
      <c r="Q177" s="413"/>
      <c r="R177" s="274"/>
      <c r="S177" s="428"/>
      <c r="T177" s="286"/>
      <c r="U177" s="286"/>
      <c r="V177" s="285"/>
      <c r="W177" s="427"/>
    </row>
    <row r="178" spans="1:23" x14ac:dyDescent="0.15">
      <c r="A178" s="398"/>
      <c r="B178" s="272">
        <v>164</v>
      </c>
      <c r="C178" s="278">
        <f t="shared" si="26"/>
        <v>50283</v>
      </c>
      <c r="D178" s="280">
        <f t="shared" si="27"/>
        <v>0</v>
      </c>
      <c r="E178" s="280">
        <f t="shared" si="20"/>
        <v>0</v>
      </c>
      <c r="F178" s="280">
        <f t="shared" si="21"/>
        <v>0</v>
      </c>
      <c r="G178" s="404">
        <f t="shared" si="22"/>
        <v>0</v>
      </c>
      <c r="H178" s="281"/>
      <c r="I178" s="413"/>
      <c r="J178" s="274">
        <v>164</v>
      </c>
      <c r="K178" s="428">
        <f t="shared" si="28"/>
        <v>50283</v>
      </c>
      <c r="L178" s="286">
        <f t="shared" si="29"/>
        <v>0</v>
      </c>
      <c r="M178" s="286">
        <f t="shared" si="23"/>
        <v>0</v>
      </c>
      <c r="N178" s="285">
        <f t="shared" si="24"/>
        <v>0</v>
      </c>
      <c r="O178" s="427">
        <f t="shared" si="25"/>
        <v>0</v>
      </c>
      <c r="Q178" s="413"/>
      <c r="R178" s="274"/>
      <c r="S178" s="428"/>
      <c r="T178" s="286"/>
      <c r="U178" s="286"/>
      <c r="V178" s="285"/>
      <c r="W178" s="427"/>
    </row>
    <row r="179" spans="1:23" x14ac:dyDescent="0.15">
      <c r="A179" s="398"/>
      <c r="B179" s="272">
        <v>165</v>
      </c>
      <c r="C179" s="278">
        <f t="shared" si="26"/>
        <v>50313</v>
      </c>
      <c r="D179" s="280">
        <f t="shared" si="27"/>
        <v>0</v>
      </c>
      <c r="E179" s="280">
        <f t="shared" si="20"/>
        <v>0</v>
      </c>
      <c r="F179" s="280">
        <f t="shared" si="21"/>
        <v>0</v>
      </c>
      <c r="G179" s="404">
        <f t="shared" si="22"/>
        <v>0</v>
      </c>
      <c r="H179" s="281"/>
      <c r="I179" s="413"/>
      <c r="J179" s="274">
        <v>165</v>
      </c>
      <c r="K179" s="428">
        <f t="shared" si="28"/>
        <v>50313</v>
      </c>
      <c r="L179" s="286">
        <f t="shared" si="29"/>
        <v>0</v>
      </c>
      <c r="M179" s="286">
        <f t="shared" si="23"/>
        <v>0</v>
      </c>
      <c r="N179" s="285">
        <f t="shared" si="24"/>
        <v>0</v>
      </c>
      <c r="O179" s="427">
        <f t="shared" si="25"/>
        <v>0</v>
      </c>
      <c r="Q179" s="413"/>
      <c r="R179" s="274"/>
      <c r="S179" s="428"/>
      <c r="T179" s="286"/>
      <c r="U179" s="286"/>
      <c r="V179" s="285"/>
      <c r="W179" s="427"/>
    </row>
    <row r="180" spans="1:23" x14ac:dyDescent="0.15">
      <c r="A180" s="398"/>
      <c r="B180" s="272">
        <v>166</v>
      </c>
      <c r="C180" s="278">
        <f t="shared" si="26"/>
        <v>50344</v>
      </c>
      <c r="D180" s="280">
        <f t="shared" si="27"/>
        <v>0</v>
      </c>
      <c r="E180" s="280">
        <f t="shared" si="20"/>
        <v>0</v>
      </c>
      <c r="F180" s="280">
        <f t="shared" si="21"/>
        <v>0</v>
      </c>
      <c r="G180" s="404">
        <f t="shared" si="22"/>
        <v>0</v>
      </c>
      <c r="H180" s="281"/>
      <c r="I180" s="413"/>
      <c r="J180" s="274">
        <v>166</v>
      </c>
      <c r="K180" s="428">
        <f t="shared" si="28"/>
        <v>50344</v>
      </c>
      <c r="L180" s="286">
        <f t="shared" si="29"/>
        <v>0</v>
      </c>
      <c r="M180" s="286">
        <f t="shared" si="23"/>
        <v>0</v>
      </c>
      <c r="N180" s="285">
        <f t="shared" si="24"/>
        <v>0</v>
      </c>
      <c r="O180" s="427">
        <f t="shared" si="25"/>
        <v>0</v>
      </c>
      <c r="Q180" s="413"/>
      <c r="R180" s="274"/>
      <c r="S180" s="428"/>
      <c r="T180" s="286"/>
      <c r="U180" s="286"/>
      <c r="V180" s="285"/>
      <c r="W180" s="427"/>
    </row>
    <row r="181" spans="1:23" x14ac:dyDescent="0.15">
      <c r="A181" s="398"/>
      <c r="B181" s="272">
        <v>167</v>
      </c>
      <c r="C181" s="278">
        <f t="shared" si="26"/>
        <v>50374</v>
      </c>
      <c r="D181" s="280">
        <f t="shared" si="27"/>
        <v>0</v>
      </c>
      <c r="E181" s="280">
        <f t="shared" si="20"/>
        <v>0</v>
      </c>
      <c r="F181" s="280">
        <f t="shared" si="21"/>
        <v>0</v>
      </c>
      <c r="G181" s="404">
        <f t="shared" si="22"/>
        <v>0</v>
      </c>
      <c r="H181" s="281"/>
      <c r="I181" s="413"/>
      <c r="J181" s="274">
        <v>167</v>
      </c>
      <c r="K181" s="428">
        <f t="shared" si="28"/>
        <v>50374</v>
      </c>
      <c r="L181" s="286">
        <f t="shared" si="29"/>
        <v>0</v>
      </c>
      <c r="M181" s="286">
        <f t="shared" si="23"/>
        <v>0</v>
      </c>
      <c r="N181" s="285">
        <f t="shared" si="24"/>
        <v>0</v>
      </c>
      <c r="O181" s="427">
        <f t="shared" si="25"/>
        <v>0</v>
      </c>
      <c r="Q181" s="413"/>
      <c r="R181" s="274"/>
      <c r="S181" s="428"/>
      <c r="T181" s="286"/>
      <c r="U181" s="286"/>
      <c r="V181" s="285"/>
      <c r="W181" s="427"/>
    </row>
    <row r="182" spans="1:23" x14ac:dyDescent="0.15">
      <c r="A182" s="398"/>
      <c r="B182" s="272">
        <v>168</v>
      </c>
      <c r="C182" s="278">
        <f t="shared" si="26"/>
        <v>50405</v>
      </c>
      <c r="D182" s="280">
        <f t="shared" si="27"/>
        <v>0</v>
      </c>
      <c r="E182" s="280">
        <f t="shared" si="20"/>
        <v>0</v>
      </c>
      <c r="F182" s="280">
        <f t="shared" si="21"/>
        <v>0</v>
      </c>
      <c r="G182" s="404">
        <f t="shared" si="22"/>
        <v>0</v>
      </c>
      <c r="H182" s="281"/>
      <c r="I182" s="413"/>
      <c r="J182" s="274">
        <v>168</v>
      </c>
      <c r="K182" s="428">
        <f t="shared" si="28"/>
        <v>50405</v>
      </c>
      <c r="L182" s="286">
        <f t="shared" si="29"/>
        <v>0</v>
      </c>
      <c r="M182" s="286">
        <f t="shared" si="23"/>
        <v>0</v>
      </c>
      <c r="N182" s="285">
        <f t="shared" si="24"/>
        <v>0</v>
      </c>
      <c r="O182" s="427">
        <f t="shared" si="25"/>
        <v>0</v>
      </c>
      <c r="Q182" s="413"/>
      <c r="R182" s="274"/>
      <c r="S182" s="428"/>
      <c r="T182" s="286"/>
      <c r="U182" s="286"/>
      <c r="V182" s="285"/>
      <c r="W182" s="427"/>
    </row>
    <row r="183" spans="1:23" x14ac:dyDescent="0.15">
      <c r="A183" s="398"/>
      <c r="B183" s="272">
        <v>169</v>
      </c>
      <c r="C183" s="278">
        <f t="shared" si="26"/>
        <v>50436</v>
      </c>
      <c r="D183" s="280">
        <f t="shared" si="27"/>
        <v>0</v>
      </c>
      <c r="E183" s="280">
        <f t="shared" si="20"/>
        <v>0</v>
      </c>
      <c r="F183" s="280">
        <f t="shared" si="21"/>
        <v>0</v>
      </c>
      <c r="G183" s="404">
        <f t="shared" si="22"/>
        <v>0</v>
      </c>
      <c r="H183" s="281"/>
      <c r="I183" s="413"/>
      <c r="J183" s="274">
        <v>169</v>
      </c>
      <c r="K183" s="428">
        <f t="shared" si="28"/>
        <v>50436</v>
      </c>
      <c r="L183" s="286">
        <f t="shared" si="29"/>
        <v>0</v>
      </c>
      <c r="M183" s="286">
        <f t="shared" si="23"/>
        <v>0</v>
      </c>
      <c r="N183" s="285">
        <f t="shared" si="24"/>
        <v>0</v>
      </c>
      <c r="O183" s="427">
        <f t="shared" si="25"/>
        <v>0</v>
      </c>
      <c r="Q183" s="413"/>
      <c r="R183" s="274"/>
      <c r="S183" s="428"/>
      <c r="T183" s="286"/>
      <c r="U183" s="286"/>
      <c r="V183" s="285"/>
      <c r="W183" s="427"/>
    </row>
    <row r="184" spans="1:23" x14ac:dyDescent="0.15">
      <c r="A184" s="398"/>
      <c r="B184" s="272">
        <v>170</v>
      </c>
      <c r="C184" s="278">
        <f t="shared" si="26"/>
        <v>50464</v>
      </c>
      <c r="D184" s="280">
        <f t="shared" si="27"/>
        <v>0</v>
      </c>
      <c r="E184" s="280">
        <f t="shared" si="20"/>
        <v>0</v>
      </c>
      <c r="F184" s="280">
        <f t="shared" si="21"/>
        <v>0</v>
      </c>
      <c r="G184" s="404">
        <f t="shared" si="22"/>
        <v>0</v>
      </c>
      <c r="H184" s="281"/>
      <c r="I184" s="413"/>
      <c r="J184" s="274">
        <v>170</v>
      </c>
      <c r="K184" s="428">
        <f t="shared" si="28"/>
        <v>50464</v>
      </c>
      <c r="L184" s="286">
        <f t="shared" si="29"/>
        <v>0</v>
      </c>
      <c r="M184" s="286">
        <f t="shared" si="23"/>
        <v>0</v>
      </c>
      <c r="N184" s="285">
        <f t="shared" si="24"/>
        <v>0</v>
      </c>
      <c r="O184" s="427">
        <f t="shared" si="25"/>
        <v>0</v>
      </c>
      <c r="Q184" s="413"/>
      <c r="R184" s="274"/>
      <c r="S184" s="428"/>
      <c r="T184" s="286"/>
      <c r="U184" s="286"/>
      <c r="V184" s="285"/>
      <c r="W184" s="427"/>
    </row>
    <row r="185" spans="1:23" x14ac:dyDescent="0.15">
      <c r="A185" s="398"/>
      <c r="B185" s="272">
        <v>171</v>
      </c>
      <c r="C185" s="278">
        <f t="shared" si="26"/>
        <v>50495</v>
      </c>
      <c r="D185" s="280">
        <f t="shared" si="27"/>
        <v>0</v>
      </c>
      <c r="E185" s="280">
        <f t="shared" si="20"/>
        <v>0</v>
      </c>
      <c r="F185" s="280">
        <f t="shared" si="21"/>
        <v>0</v>
      </c>
      <c r="G185" s="404">
        <f t="shared" si="22"/>
        <v>0</v>
      </c>
      <c r="H185" s="281"/>
      <c r="I185" s="413"/>
      <c r="J185" s="274">
        <v>171</v>
      </c>
      <c r="K185" s="428">
        <f t="shared" si="28"/>
        <v>50495</v>
      </c>
      <c r="L185" s="286">
        <f t="shared" si="29"/>
        <v>0</v>
      </c>
      <c r="M185" s="286">
        <f t="shared" si="23"/>
        <v>0</v>
      </c>
      <c r="N185" s="285">
        <f t="shared" si="24"/>
        <v>0</v>
      </c>
      <c r="O185" s="427">
        <f t="shared" si="25"/>
        <v>0</v>
      </c>
      <c r="Q185" s="413"/>
      <c r="R185" s="274"/>
      <c r="S185" s="428"/>
      <c r="T185" s="286"/>
      <c r="U185" s="286"/>
      <c r="V185" s="285"/>
      <c r="W185" s="427"/>
    </row>
    <row r="186" spans="1:23" x14ac:dyDescent="0.15">
      <c r="A186" s="398"/>
      <c r="B186" s="272">
        <v>172</v>
      </c>
      <c r="C186" s="278">
        <f t="shared" si="26"/>
        <v>50525</v>
      </c>
      <c r="D186" s="280">
        <f t="shared" si="27"/>
        <v>0</v>
      </c>
      <c r="E186" s="280">
        <f t="shared" si="20"/>
        <v>0</v>
      </c>
      <c r="F186" s="280">
        <f t="shared" si="21"/>
        <v>0</v>
      </c>
      <c r="G186" s="404">
        <f t="shared" si="22"/>
        <v>0</v>
      </c>
      <c r="H186" s="281"/>
      <c r="I186" s="413"/>
      <c r="J186" s="274">
        <v>172</v>
      </c>
      <c r="K186" s="428">
        <f t="shared" si="28"/>
        <v>50525</v>
      </c>
      <c r="L186" s="286">
        <f t="shared" si="29"/>
        <v>0</v>
      </c>
      <c r="M186" s="286">
        <f t="shared" si="23"/>
        <v>0</v>
      </c>
      <c r="N186" s="285">
        <f t="shared" si="24"/>
        <v>0</v>
      </c>
      <c r="O186" s="427">
        <f t="shared" si="25"/>
        <v>0</v>
      </c>
      <c r="Q186" s="413"/>
      <c r="R186" s="274"/>
      <c r="S186" s="428"/>
      <c r="T186" s="286"/>
      <c r="U186" s="286"/>
      <c r="V186" s="285"/>
      <c r="W186" s="427"/>
    </row>
    <row r="187" spans="1:23" x14ac:dyDescent="0.15">
      <c r="A187" s="398"/>
      <c r="B187" s="272">
        <v>173</v>
      </c>
      <c r="C187" s="278">
        <f t="shared" si="26"/>
        <v>50556</v>
      </c>
      <c r="D187" s="280">
        <f t="shared" si="27"/>
        <v>0</v>
      </c>
      <c r="E187" s="280">
        <f t="shared" si="20"/>
        <v>0</v>
      </c>
      <c r="F187" s="280">
        <f t="shared" si="21"/>
        <v>0</v>
      </c>
      <c r="G187" s="404">
        <f t="shared" si="22"/>
        <v>0</v>
      </c>
      <c r="H187" s="281"/>
      <c r="I187" s="413"/>
      <c r="J187" s="274">
        <v>173</v>
      </c>
      <c r="K187" s="428">
        <f t="shared" si="28"/>
        <v>50556</v>
      </c>
      <c r="L187" s="286">
        <f t="shared" si="29"/>
        <v>0</v>
      </c>
      <c r="M187" s="286">
        <f t="shared" si="23"/>
        <v>0</v>
      </c>
      <c r="N187" s="285">
        <f t="shared" si="24"/>
        <v>0</v>
      </c>
      <c r="O187" s="427">
        <f t="shared" si="25"/>
        <v>0</v>
      </c>
      <c r="Q187" s="413"/>
      <c r="R187" s="274"/>
      <c r="S187" s="428"/>
      <c r="T187" s="286"/>
      <c r="U187" s="286"/>
      <c r="V187" s="285"/>
      <c r="W187" s="427"/>
    </row>
    <row r="188" spans="1:23" x14ac:dyDescent="0.15">
      <c r="A188" s="398"/>
      <c r="B188" s="272">
        <v>174</v>
      </c>
      <c r="C188" s="278">
        <f t="shared" si="26"/>
        <v>50586</v>
      </c>
      <c r="D188" s="280">
        <f t="shared" si="27"/>
        <v>0</v>
      </c>
      <c r="E188" s="280">
        <f t="shared" si="20"/>
        <v>0</v>
      </c>
      <c r="F188" s="280">
        <f t="shared" si="21"/>
        <v>0</v>
      </c>
      <c r="G188" s="404">
        <f t="shared" si="22"/>
        <v>0</v>
      </c>
      <c r="H188" s="281"/>
      <c r="I188" s="413"/>
      <c r="J188" s="274">
        <v>174</v>
      </c>
      <c r="K188" s="428">
        <f t="shared" si="28"/>
        <v>50586</v>
      </c>
      <c r="L188" s="286">
        <f t="shared" si="29"/>
        <v>0</v>
      </c>
      <c r="M188" s="286">
        <f t="shared" si="23"/>
        <v>0</v>
      </c>
      <c r="N188" s="285">
        <f t="shared" si="24"/>
        <v>0</v>
      </c>
      <c r="O188" s="427">
        <f t="shared" si="25"/>
        <v>0</v>
      </c>
      <c r="Q188" s="413"/>
      <c r="R188" s="274"/>
      <c r="S188" s="428"/>
      <c r="T188" s="286"/>
      <c r="U188" s="286"/>
      <c r="V188" s="285"/>
      <c r="W188" s="427"/>
    </row>
    <row r="189" spans="1:23" x14ac:dyDescent="0.15">
      <c r="A189" s="398"/>
      <c r="B189" s="272">
        <v>175</v>
      </c>
      <c r="C189" s="278">
        <f t="shared" si="26"/>
        <v>50617</v>
      </c>
      <c r="D189" s="280">
        <f t="shared" si="27"/>
        <v>0</v>
      </c>
      <c r="E189" s="280">
        <f t="shared" si="20"/>
        <v>0</v>
      </c>
      <c r="F189" s="280">
        <f t="shared" si="21"/>
        <v>0</v>
      </c>
      <c r="G189" s="404">
        <f t="shared" si="22"/>
        <v>0</v>
      </c>
      <c r="H189" s="281"/>
      <c r="I189" s="413"/>
      <c r="J189" s="274">
        <v>175</v>
      </c>
      <c r="K189" s="428">
        <f t="shared" si="28"/>
        <v>50617</v>
      </c>
      <c r="L189" s="286">
        <f t="shared" si="29"/>
        <v>0</v>
      </c>
      <c r="M189" s="286">
        <f t="shared" si="23"/>
        <v>0</v>
      </c>
      <c r="N189" s="285">
        <f t="shared" si="24"/>
        <v>0</v>
      </c>
      <c r="O189" s="427">
        <f t="shared" si="25"/>
        <v>0</v>
      </c>
      <c r="Q189" s="413"/>
      <c r="R189" s="274"/>
      <c r="S189" s="428"/>
      <c r="T189" s="286"/>
      <c r="U189" s="286"/>
      <c r="V189" s="285"/>
      <c r="W189" s="427"/>
    </row>
    <row r="190" spans="1:23" x14ac:dyDescent="0.15">
      <c r="A190" s="398"/>
      <c r="B190" s="272">
        <v>176</v>
      </c>
      <c r="C190" s="278">
        <f t="shared" si="26"/>
        <v>50648</v>
      </c>
      <c r="D190" s="280">
        <f t="shared" si="27"/>
        <v>0</v>
      </c>
      <c r="E190" s="280">
        <f t="shared" si="20"/>
        <v>0</v>
      </c>
      <c r="F190" s="280">
        <f t="shared" si="21"/>
        <v>0</v>
      </c>
      <c r="G190" s="404">
        <f t="shared" si="22"/>
        <v>0</v>
      </c>
      <c r="H190" s="281"/>
      <c r="I190" s="413"/>
      <c r="J190" s="274">
        <v>176</v>
      </c>
      <c r="K190" s="428">
        <f t="shared" si="28"/>
        <v>50648</v>
      </c>
      <c r="L190" s="286">
        <f t="shared" si="29"/>
        <v>0</v>
      </c>
      <c r="M190" s="286">
        <f t="shared" si="23"/>
        <v>0</v>
      </c>
      <c r="N190" s="285">
        <f t="shared" si="24"/>
        <v>0</v>
      </c>
      <c r="O190" s="427">
        <f t="shared" si="25"/>
        <v>0</v>
      </c>
      <c r="Q190" s="413"/>
      <c r="R190" s="274"/>
      <c r="S190" s="428"/>
      <c r="T190" s="286"/>
      <c r="U190" s="286"/>
      <c r="V190" s="285"/>
      <c r="W190" s="427"/>
    </row>
    <row r="191" spans="1:23" x14ac:dyDescent="0.15">
      <c r="A191" s="398"/>
      <c r="B191" s="272">
        <v>177</v>
      </c>
      <c r="C191" s="278">
        <f t="shared" si="26"/>
        <v>50678</v>
      </c>
      <c r="D191" s="280">
        <f t="shared" si="27"/>
        <v>0</v>
      </c>
      <c r="E191" s="280">
        <f t="shared" si="20"/>
        <v>0</v>
      </c>
      <c r="F191" s="280">
        <f t="shared" si="21"/>
        <v>0</v>
      </c>
      <c r="G191" s="404">
        <f t="shared" si="22"/>
        <v>0</v>
      </c>
      <c r="H191" s="281"/>
      <c r="I191" s="413"/>
      <c r="J191" s="274">
        <v>177</v>
      </c>
      <c r="K191" s="428">
        <f t="shared" si="28"/>
        <v>50678</v>
      </c>
      <c r="L191" s="286">
        <f t="shared" si="29"/>
        <v>0</v>
      </c>
      <c r="M191" s="286">
        <f t="shared" si="23"/>
        <v>0</v>
      </c>
      <c r="N191" s="285">
        <f t="shared" si="24"/>
        <v>0</v>
      </c>
      <c r="O191" s="427">
        <f t="shared" si="25"/>
        <v>0</v>
      </c>
      <c r="Q191" s="413"/>
      <c r="R191" s="274"/>
      <c r="S191" s="428"/>
      <c r="T191" s="286"/>
      <c r="U191" s="286"/>
      <c r="V191" s="285"/>
      <c r="W191" s="427"/>
    </row>
    <row r="192" spans="1:23" x14ac:dyDescent="0.15">
      <c r="A192" s="398"/>
      <c r="B192" s="272">
        <v>178</v>
      </c>
      <c r="C192" s="278">
        <f t="shared" si="26"/>
        <v>50709</v>
      </c>
      <c r="D192" s="280">
        <f t="shared" si="27"/>
        <v>0</v>
      </c>
      <c r="E192" s="280">
        <f t="shared" si="20"/>
        <v>0</v>
      </c>
      <c r="F192" s="280">
        <f t="shared" si="21"/>
        <v>0</v>
      </c>
      <c r="G192" s="404">
        <f t="shared" si="22"/>
        <v>0</v>
      </c>
      <c r="H192" s="281"/>
      <c r="I192" s="413"/>
      <c r="J192" s="274">
        <v>178</v>
      </c>
      <c r="K192" s="428">
        <f t="shared" si="28"/>
        <v>50709</v>
      </c>
      <c r="L192" s="286">
        <f t="shared" si="29"/>
        <v>0</v>
      </c>
      <c r="M192" s="286">
        <f t="shared" si="23"/>
        <v>0</v>
      </c>
      <c r="N192" s="285">
        <f t="shared" si="24"/>
        <v>0</v>
      </c>
      <c r="O192" s="427">
        <f t="shared" si="25"/>
        <v>0</v>
      </c>
      <c r="Q192" s="413"/>
      <c r="R192" s="274"/>
      <c r="S192" s="428"/>
      <c r="T192" s="286"/>
      <c r="U192" s="286"/>
      <c r="V192" s="285"/>
      <c r="W192" s="427"/>
    </row>
    <row r="193" spans="1:23" x14ac:dyDescent="0.15">
      <c r="A193" s="398"/>
      <c r="B193" s="272">
        <v>179</v>
      </c>
      <c r="C193" s="278">
        <f t="shared" si="26"/>
        <v>50739</v>
      </c>
      <c r="D193" s="280">
        <f t="shared" si="27"/>
        <v>0</v>
      </c>
      <c r="E193" s="280">
        <f t="shared" si="20"/>
        <v>0</v>
      </c>
      <c r="F193" s="280">
        <f t="shared" si="21"/>
        <v>0</v>
      </c>
      <c r="G193" s="404">
        <f t="shared" si="22"/>
        <v>0</v>
      </c>
      <c r="H193" s="281"/>
      <c r="I193" s="413"/>
      <c r="J193" s="274">
        <v>179</v>
      </c>
      <c r="K193" s="428">
        <f t="shared" si="28"/>
        <v>50739</v>
      </c>
      <c r="L193" s="286">
        <f t="shared" si="29"/>
        <v>0</v>
      </c>
      <c r="M193" s="286">
        <f t="shared" si="23"/>
        <v>0</v>
      </c>
      <c r="N193" s="285">
        <f t="shared" si="24"/>
        <v>0</v>
      </c>
      <c r="O193" s="427">
        <f t="shared" si="25"/>
        <v>0</v>
      </c>
      <c r="Q193" s="413"/>
      <c r="R193" s="274"/>
      <c r="S193" s="428"/>
      <c r="T193" s="286"/>
      <c r="U193" s="286"/>
      <c r="V193" s="285"/>
      <c r="W193" s="427"/>
    </row>
    <row r="194" spans="1:23" x14ac:dyDescent="0.15">
      <c r="A194" s="398"/>
      <c r="B194" s="272">
        <v>180</v>
      </c>
      <c r="C194" s="278">
        <f t="shared" si="26"/>
        <v>50770</v>
      </c>
      <c r="D194" s="280">
        <f t="shared" si="27"/>
        <v>0</v>
      </c>
      <c r="E194" s="280">
        <f t="shared" si="20"/>
        <v>0</v>
      </c>
      <c r="F194" s="280">
        <f t="shared" si="21"/>
        <v>0</v>
      </c>
      <c r="G194" s="404">
        <f t="shared" si="22"/>
        <v>0</v>
      </c>
      <c r="H194" s="281"/>
      <c r="I194" s="413"/>
      <c r="J194" s="274">
        <v>180</v>
      </c>
      <c r="K194" s="428">
        <f t="shared" si="28"/>
        <v>50770</v>
      </c>
      <c r="L194" s="286">
        <f t="shared" si="29"/>
        <v>0</v>
      </c>
      <c r="M194" s="286">
        <f t="shared" si="23"/>
        <v>0</v>
      </c>
      <c r="N194" s="285">
        <f t="shared" si="24"/>
        <v>0</v>
      </c>
      <c r="O194" s="427">
        <f t="shared" si="25"/>
        <v>0</v>
      </c>
      <c r="Q194" s="413"/>
      <c r="R194" s="274"/>
      <c r="S194" s="428"/>
      <c r="T194" s="286"/>
      <c r="U194" s="286"/>
      <c r="V194" s="285"/>
      <c r="W194" s="427"/>
    </row>
    <row r="195" spans="1:23" x14ac:dyDescent="0.15">
      <c r="A195" s="398"/>
      <c r="B195" s="272">
        <v>181</v>
      </c>
      <c r="C195" s="278">
        <f t="shared" si="26"/>
        <v>50801</v>
      </c>
      <c r="D195" s="280">
        <f t="shared" si="27"/>
        <v>0</v>
      </c>
      <c r="E195" s="280">
        <f t="shared" si="20"/>
        <v>0</v>
      </c>
      <c r="F195" s="280">
        <f t="shared" si="21"/>
        <v>0</v>
      </c>
      <c r="G195" s="404">
        <f t="shared" si="22"/>
        <v>0</v>
      </c>
      <c r="H195" s="281"/>
      <c r="I195" s="413"/>
      <c r="J195" s="274">
        <v>181</v>
      </c>
      <c r="K195" s="428">
        <f t="shared" si="28"/>
        <v>50801</v>
      </c>
      <c r="L195" s="286">
        <f t="shared" si="29"/>
        <v>0</v>
      </c>
      <c r="M195" s="286">
        <f t="shared" si="23"/>
        <v>0</v>
      </c>
      <c r="N195" s="285">
        <f t="shared" si="24"/>
        <v>0</v>
      </c>
      <c r="O195" s="427">
        <f t="shared" si="25"/>
        <v>0</v>
      </c>
      <c r="Q195" s="413"/>
      <c r="R195" s="274"/>
      <c r="S195" s="428"/>
      <c r="T195" s="286"/>
      <c r="U195" s="286"/>
      <c r="V195" s="285"/>
      <c r="W195" s="427"/>
    </row>
    <row r="196" spans="1:23" x14ac:dyDescent="0.15">
      <c r="A196" s="398"/>
      <c r="B196" s="272">
        <v>182</v>
      </c>
      <c r="C196" s="278">
        <f t="shared" si="26"/>
        <v>50829</v>
      </c>
      <c r="D196" s="280">
        <f t="shared" si="27"/>
        <v>0</v>
      </c>
      <c r="E196" s="280">
        <f t="shared" si="20"/>
        <v>0</v>
      </c>
      <c r="F196" s="280">
        <f t="shared" si="21"/>
        <v>0</v>
      </c>
      <c r="G196" s="404">
        <f t="shared" si="22"/>
        <v>0</v>
      </c>
      <c r="H196" s="281"/>
      <c r="I196" s="413"/>
      <c r="J196" s="274">
        <v>182</v>
      </c>
      <c r="K196" s="428">
        <f t="shared" si="28"/>
        <v>50829</v>
      </c>
      <c r="L196" s="286">
        <f t="shared" si="29"/>
        <v>0</v>
      </c>
      <c r="M196" s="286">
        <f t="shared" si="23"/>
        <v>0</v>
      </c>
      <c r="N196" s="285">
        <f t="shared" si="24"/>
        <v>0</v>
      </c>
      <c r="O196" s="427">
        <f t="shared" si="25"/>
        <v>0</v>
      </c>
      <c r="Q196" s="413"/>
      <c r="R196" s="274"/>
      <c r="S196" s="428"/>
      <c r="T196" s="286"/>
      <c r="U196" s="286"/>
      <c r="V196" s="285"/>
      <c r="W196" s="427"/>
    </row>
    <row r="197" spans="1:23" x14ac:dyDescent="0.15">
      <c r="A197" s="398"/>
      <c r="B197" s="272">
        <v>183</v>
      </c>
      <c r="C197" s="278">
        <f t="shared" si="26"/>
        <v>50860</v>
      </c>
      <c r="D197" s="280">
        <f t="shared" si="27"/>
        <v>0</v>
      </c>
      <c r="E197" s="280">
        <f t="shared" si="20"/>
        <v>0</v>
      </c>
      <c r="F197" s="280">
        <f t="shared" si="21"/>
        <v>0</v>
      </c>
      <c r="G197" s="404">
        <f t="shared" si="22"/>
        <v>0</v>
      </c>
      <c r="H197" s="281"/>
      <c r="I197" s="413"/>
      <c r="J197" s="274">
        <v>183</v>
      </c>
      <c r="K197" s="428">
        <f t="shared" si="28"/>
        <v>50860</v>
      </c>
      <c r="L197" s="286">
        <f t="shared" si="29"/>
        <v>0</v>
      </c>
      <c r="M197" s="286">
        <f t="shared" si="23"/>
        <v>0</v>
      </c>
      <c r="N197" s="285">
        <f t="shared" si="24"/>
        <v>0</v>
      </c>
      <c r="O197" s="427">
        <f t="shared" si="25"/>
        <v>0</v>
      </c>
      <c r="Q197" s="413"/>
      <c r="R197" s="274"/>
      <c r="S197" s="428"/>
      <c r="T197" s="286"/>
      <c r="U197" s="286"/>
      <c r="V197" s="285"/>
      <c r="W197" s="427"/>
    </row>
    <row r="198" spans="1:23" x14ac:dyDescent="0.15">
      <c r="A198" s="398"/>
      <c r="B198" s="272">
        <v>184</v>
      </c>
      <c r="C198" s="278">
        <f t="shared" si="26"/>
        <v>50890</v>
      </c>
      <c r="D198" s="280">
        <f t="shared" si="27"/>
        <v>0</v>
      </c>
      <c r="E198" s="280">
        <f t="shared" si="20"/>
        <v>0</v>
      </c>
      <c r="F198" s="280">
        <f t="shared" si="21"/>
        <v>0</v>
      </c>
      <c r="G198" s="404">
        <f t="shared" si="22"/>
        <v>0</v>
      </c>
      <c r="H198" s="281"/>
      <c r="I198" s="413"/>
      <c r="J198" s="274">
        <v>184</v>
      </c>
      <c r="K198" s="428">
        <f t="shared" si="28"/>
        <v>50890</v>
      </c>
      <c r="L198" s="286">
        <f t="shared" si="29"/>
        <v>0</v>
      </c>
      <c r="M198" s="286">
        <f t="shared" si="23"/>
        <v>0</v>
      </c>
      <c r="N198" s="285">
        <f t="shared" si="24"/>
        <v>0</v>
      </c>
      <c r="O198" s="427">
        <f t="shared" si="25"/>
        <v>0</v>
      </c>
      <c r="Q198" s="413"/>
      <c r="R198" s="274"/>
      <c r="S198" s="428"/>
      <c r="T198" s="286"/>
      <c r="U198" s="286"/>
      <c r="V198" s="285"/>
      <c r="W198" s="427"/>
    </row>
    <row r="199" spans="1:23" x14ac:dyDescent="0.15">
      <c r="A199" s="398"/>
      <c r="B199" s="272">
        <v>185</v>
      </c>
      <c r="C199" s="278">
        <f t="shared" si="26"/>
        <v>50921</v>
      </c>
      <c r="D199" s="280">
        <f t="shared" si="27"/>
        <v>0</v>
      </c>
      <c r="E199" s="280">
        <f t="shared" si="20"/>
        <v>0</v>
      </c>
      <c r="F199" s="280">
        <f t="shared" si="21"/>
        <v>0</v>
      </c>
      <c r="G199" s="404">
        <f t="shared" si="22"/>
        <v>0</v>
      </c>
      <c r="H199" s="281"/>
      <c r="I199" s="413"/>
      <c r="J199" s="274">
        <v>185</v>
      </c>
      <c r="K199" s="428">
        <f t="shared" si="28"/>
        <v>50921</v>
      </c>
      <c r="L199" s="286">
        <f t="shared" si="29"/>
        <v>0</v>
      </c>
      <c r="M199" s="286">
        <f t="shared" si="23"/>
        <v>0</v>
      </c>
      <c r="N199" s="285">
        <f t="shared" si="24"/>
        <v>0</v>
      </c>
      <c r="O199" s="427">
        <f t="shared" si="25"/>
        <v>0</v>
      </c>
      <c r="Q199" s="413"/>
      <c r="R199" s="274"/>
      <c r="S199" s="428"/>
      <c r="T199" s="286"/>
      <c r="U199" s="286"/>
      <c r="V199" s="285"/>
      <c r="W199" s="427"/>
    </row>
    <row r="200" spans="1:23" x14ac:dyDescent="0.15">
      <c r="A200" s="398"/>
      <c r="B200" s="272">
        <v>186</v>
      </c>
      <c r="C200" s="278">
        <f t="shared" si="26"/>
        <v>50951</v>
      </c>
      <c r="D200" s="280">
        <f t="shared" si="27"/>
        <v>0</v>
      </c>
      <c r="E200" s="280">
        <f t="shared" si="20"/>
        <v>0</v>
      </c>
      <c r="F200" s="280">
        <f t="shared" si="21"/>
        <v>0</v>
      </c>
      <c r="G200" s="404">
        <f t="shared" si="22"/>
        <v>0</v>
      </c>
      <c r="H200" s="281"/>
      <c r="I200" s="413"/>
      <c r="J200" s="274">
        <v>186</v>
      </c>
      <c r="K200" s="428">
        <f t="shared" si="28"/>
        <v>50951</v>
      </c>
      <c r="L200" s="286">
        <f t="shared" si="29"/>
        <v>0</v>
      </c>
      <c r="M200" s="286">
        <f t="shared" si="23"/>
        <v>0</v>
      </c>
      <c r="N200" s="285">
        <f t="shared" si="24"/>
        <v>0</v>
      </c>
      <c r="O200" s="427">
        <f t="shared" si="25"/>
        <v>0</v>
      </c>
      <c r="Q200" s="413"/>
      <c r="R200" s="274"/>
      <c r="S200" s="428"/>
      <c r="T200" s="286"/>
      <c r="U200" s="286"/>
      <c r="V200" s="285"/>
      <c r="W200" s="427"/>
    </row>
    <row r="201" spans="1:23" x14ac:dyDescent="0.15">
      <c r="A201" s="398"/>
      <c r="B201" s="272">
        <v>187</v>
      </c>
      <c r="C201" s="278">
        <f t="shared" si="26"/>
        <v>50982</v>
      </c>
      <c r="D201" s="280">
        <f t="shared" si="27"/>
        <v>0</v>
      </c>
      <c r="E201" s="280">
        <f t="shared" si="20"/>
        <v>0</v>
      </c>
      <c r="F201" s="280">
        <f t="shared" si="21"/>
        <v>0</v>
      </c>
      <c r="G201" s="404">
        <f t="shared" si="22"/>
        <v>0</v>
      </c>
      <c r="H201" s="281"/>
      <c r="I201" s="413"/>
      <c r="J201" s="274">
        <v>187</v>
      </c>
      <c r="K201" s="428">
        <f t="shared" si="28"/>
        <v>50982</v>
      </c>
      <c r="L201" s="286">
        <f t="shared" si="29"/>
        <v>0</v>
      </c>
      <c r="M201" s="286">
        <f t="shared" si="23"/>
        <v>0</v>
      </c>
      <c r="N201" s="285">
        <f t="shared" si="24"/>
        <v>0</v>
      </c>
      <c r="O201" s="427">
        <f t="shared" si="25"/>
        <v>0</v>
      </c>
      <c r="Q201" s="413"/>
      <c r="R201" s="274"/>
      <c r="S201" s="428"/>
      <c r="T201" s="286"/>
      <c r="U201" s="286"/>
      <c r="V201" s="285"/>
      <c r="W201" s="427"/>
    </row>
    <row r="202" spans="1:23" x14ac:dyDescent="0.15">
      <c r="A202" s="398"/>
      <c r="B202" s="272">
        <v>188</v>
      </c>
      <c r="C202" s="278">
        <f t="shared" si="26"/>
        <v>51013</v>
      </c>
      <c r="D202" s="280">
        <f t="shared" si="27"/>
        <v>0</v>
      </c>
      <c r="E202" s="280">
        <f t="shared" si="20"/>
        <v>0</v>
      </c>
      <c r="F202" s="280">
        <f t="shared" si="21"/>
        <v>0</v>
      </c>
      <c r="G202" s="404">
        <f t="shared" si="22"/>
        <v>0</v>
      </c>
      <c r="H202" s="281"/>
      <c r="I202" s="413"/>
      <c r="J202" s="274">
        <v>188</v>
      </c>
      <c r="K202" s="428">
        <f t="shared" si="28"/>
        <v>51013</v>
      </c>
      <c r="L202" s="286">
        <f t="shared" si="29"/>
        <v>0</v>
      </c>
      <c r="M202" s="286">
        <f t="shared" si="23"/>
        <v>0</v>
      </c>
      <c r="N202" s="285">
        <f t="shared" si="24"/>
        <v>0</v>
      </c>
      <c r="O202" s="427">
        <f t="shared" si="25"/>
        <v>0</v>
      </c>
      <c r="Q202" s="413"/>
      <c r="R202" s="274"/>
      <c r="S202" s="428"/>
      <c r="T202" s="286"/>
      <c r="U202" s="286"/>
      <c r="V202" s="285"/>
      <c r="W202" s="427"/>
    </row>
    <row r="203" spans="1:23" x14ac:dyDescent="0.15">
      <c r="A203" s="398"/>
      <c r="B203" s="272">
        <v>189</v>
      </c>
      <c r="C203" s="278">
        <f t="shared" si="26"/>
        <v>51043</v>
      </c>
      <c r="D203" s="280">
        <f t="shared" si="27"/>
        <v>0</v>
      </c>
      <c r="E203" s="280">
        <f t="shared" si="20"/>
        <v>0</v>
      </c>
      <c r="F203" s="280">
        <f t="shared" si="21"/>
        <v>0</v>
      </c>
      <c r="G203" s="404">
        <f t="shared" si="22"/>
        <v>0</v>
      </c>
      <c r="H203" s="281"/>
      <c r="I203" s="413"/>
      <c r="J203" s="274">
        <v>189</v>
      </c>
      <c r="K203" s="428">
        <f t="shared" si="28"/>
        <v>51043</v>
      </c>
      <c r="L203" s="286">
        <f t="shared" si="29"/>
        <v>0</v>
      </c>
      <c r="M203" s="286">
        <f t="shared" si="23"/>
        <v>0</v>
      </c>
      <c r="N203" s="285">
        <f t="shared" si="24"/>
        <v>0</v>
      </c>
      <c r="O203" s="427">
        <f t="shared" si="25"/>
        <v>0</v>
      </c>
      <c r="Q203" s="413"/>
      <c r="R203" s="274"/>
      <c r="S203" s="428"/>
      <c r="T203" s="286"/>
      <c r="U203" s="286"/>
      <c r="V203" s="285"/>
      <c r="W203" s="427"/>
    </row>
    <row r="204" spans="1:23" x14ac:dyDescent="0.15">
      <c r="A204" s="398"/>
      <c r="B204" s="272">
        <v>190</v>
      </c>
      <c r="C204" s="278">
        <f t="shared" si="26"/>
        <v>51074</v>
      </c>
      <c r="D204" s="280">
        <f t="shared" si="27"/>
        <v>0</v>
      </c>
      <c r="E204" s="280">
        <f t="shared" si="20"/>
        <v>0</v>
      </c>
      <c r="F204" s="280">
        <f t="shared" si="21"/>
        <v>0</v>
      </c>
      <c r="G204" s="404">
        <f t="shared" si="22"/>
        <v>0</v>
      </c>
      <c r="H204" s="281"/>
      <c r="I204" s="413"/>
      <c r="J204" s="274">
        <v>190</v>
      </c>
      <c r="K204" s="428">
        <f t="shared" si="28"/>
        <v>51074</v>
      </c>
      <c r="L204" s="286">
        <f t="shared" si="29"/>
        <v>0</v>
      </c>
      <c r="M204" s="286">
        <f t="shared" si="23"/>
        <v>0</v>
      </c>
      <c r="N204" s="285">
        <f t="shared" si="24"/>
        <v>0</v>
      </c>
      <c r="O204" s="427">
        <f t="shared" si="25"/>
        <v>0</v>
      </c>
      <c r="Q204" s="413"/>
      <c r="R204" s="274"/>
      <c r="S204" s="428"/>
      <c r="T204" s="286"/>
      <c r="U204" s="286"/>
      <c r="V204" s="285"/>
      <c r="W204" s="427"/>
    </row>
    <row r="205" spans="1:23" x14ac:dyDescent="0.15">
      <c r="A205" s="398"/>
      <c r="B205" s="272">
        <v>191</v>
      </c>
      <c r="C205" s="278">
        <f t="shared" si="26"/>
        <v>51104</v>
      </c>
      <c r="D205" s="280">
        <f t="shared" si="27"/>
        <v>0</v>
      </c>
      <c r="E205" s="280">
        <f t="shared" si="20"/>
        <v>0</v>
      </c>
      <c r="F205" s="280">
        <f t="shared" si="21"/>
        <v>0</v>
      </c>
      <c r="G205" s="404">
        <f t="shared" si="22"/>
        <v>0</v>
      </c>
      <c r="H205" s="281"/>
      <c r="I205" s="413"/>
      <c r="J205" s="274">
        <v>191</v>
      </c>
      <c r="K205" s="428">
        <f t="shared" si="28"/>
        <v>51104</v>
      </c>
      <c r="L205" s="286">
        <f t="shared" si="29"/>
        <v>0</v>
      </c>
      <c r="M205" s="286">
        <f t="shared" si="23"/>
        <v>0</v>
      </c>
      <c r="N205" s="285">
        <f t="shared" si="24"/>
        <v>0</v>
      </c>
      <c r="O205" s="427">
        <f t="shared" si="25"/>
        <v>0</v>
      </c>
      <c r="Q205" s="413"/>
      <c r="R205" s="274"/>
      <c r="S205" s="428"/>
      <c r="T205" s="286"/>
      <c r="U205" s="286"/>
      <c r="V205" s="285"/>
      <c r="W205" s="427"/>
    </row>
    <row r="206" spans="1:23" x14ac:dyDescent="0.15">
      <c r="A206" s="398"/>
      <c r="B206" s="272">
        <v>192</v>
      </c>
      <c r="C206" s="278">
        <f t="shared" si="26"/>
        <v>51135</v>
      </c>
      <c r="D206" s="280">
        <f t="shared" si="27"/>
        <v>0</v>
      </c>
      <c r="E206" s="280">
        <f t="shared" si="20"/>
        <v>0</v>
      </c>
      <c r="F206" s="280">
        <f t="shared" si="21"/>
        <v>0</v>
      </c>
      <c r="G206" s="404">
        <f t="shared" si="22"/>
        <v>0</v>
      </c>
      <c r="H206" s="281"/>
      <c r="I206" s="413"/>
      <c r="J206" s="274">
        <v>192</v>
      </c>
      <c r="K206" s="428">
        <f t="shared" si="28"/>
        <v>51135</v>
      </c>
      <c r="L206" s="286">
        <f t="shared" si="29"/>
        <v>0</v>
      </c>
      <c r="M206" s="286">
        <f t="shared" si="23"/>
        <v>0</v>
      </c>
      <c r="N206" s="285">
        <f t="shared" si="24"/>
        <v>0</v>
      </c>
      <c r="O206" s="427">
        <f t="shared" si="25"/>
        <v>0</v>
      </c>
      <c r="Q206" s="413"/>
      <c r="R206" s="274"/>
      <c r="S206" s="428"/>
      <c r="T206" s="286"/>
      <c r="U206" s="286"/>
      <c r="V206" s="285"/>
      <c r="W206" s="427"/>
    </row>
    <row r="207" spans="1:23" x14ac:dyDescent="0.15">
      <c r="A207" s="398"/>
      <c r="B207" s="272">
        <v>193</v>
      </c>
      <c r="C207" s="278">
        <f t="shared" si="26"/>
        <v>51166</v>
      </c>
      <c r="D207" s="280">
        <f t="shared" si="27"/>
        <v>0</v>
      </c>
      <c r="E207" s="280">
        <f t="shared" si="20"/>
        <v>0</v>
      </c>
      <c r="F207" s="280">
        <f t="shared" si="21"/>
        <v>0</v>
      </c>
      <c r="G207" s="404">
        <f t="shared" si="22"/>
        <v>0</v>
      </c>
      <c r="H207" s="281"/>
      <c r="I207" s="413"/>
      <c r="J207" s="274">
        <v>193</v>
      </c>
      <c r="K207" s="428">
        <f t="shared" si="28"/>
        <v>51166</v>
      </c>
      <c r="L207" s="286">
        <f t="shared" si="29"/>
        <v>0</v>
      </c>
      <c r="M207" s="286">
        <f t="shared" si="23"/>
        <v>0</v>
      </c>
      <c r="N207" s="285">
        <f t="shared" si="24"/>
        <v>0</v>
      </c>
      <c r="O207" s="427">
        <f t="shared" si="25"/>
        <v>0</v>
      </c>
      <c r="Q207" s="413"/>
      <c r="R207" s="274"/>
      <c r="S207" s="428"/>
      <c r="T207" s="286"/>
      <c r="U207" s="286"/>
      <c r="V207" s="285"/>
      <c r="W207" s="427"/>
    </row>
    <row r="208" spans="1:23" x14ac:dyDescent="0.15">
      <c r="A208" s="398"/>
      <c r="B208" s="272">
        <v>194</v>
      </c>
      <c r="C208" s="278">
        <f t="shared" si="26"/>
        <v>51195</v>
      </c>
      <c r="D208" s="280">
        <f t="shared" si="27"/>
        <v>0</v>
      </c>
      <c r="E208" s="280">
        <f t="shared" ref="E208:E271" si="30">(D208*$F$9)/12</f>
        <v>0</v>
      </c>
      <c r="F208" s="280">
        <f t="shared" ref="F208:F271" si="31">IF($F$10=0,0,IF(B208&gt;$F$6,0,-$F$11-E208))</f>
        <v>0</v>
      </c>
      <c r="G208" s="404">
        <f t="shared" ref="G208:G271" si="32">IF(B208&gt;$F$6,0,D208-F208)</f>
        <v>0</v>
      </c>
      <c r="H208" s="281"/>
      <c r="I208" s="413"/>
      <c r="J208" s="274">
        <v>194</v>
      </c>
      <c r="K208" s="428">
        <f t="shared" si="28"/>
        <v>51195</v>
      </c>
      <c r="L208" s="286">
        <f t="shared" si="29"/>
        <v>0</v>
      </c>
      <c r="M208" s="286">
        <f t="shared" ref="M208:M271" si="33">IF(K208&gt;$N$7,0,(L208*$N$9)/12)</f>
        <v>0</v>
      </c>
      <c r="N208" s="285">
        <f t="shared" ref="N208:N271" si="34">IF(K208&gt;$N$7,0,-$N$11-M208)</f>
        <v>0</v>
      </c>
      <c r="O208" s="427">
        <f t="shared" ref="O208:O271" si="35">IF(J208&gt;$N$6,0,L208-N208)</f>
        <v>0</v>
      </c>
      <c r="Q208" s="413"/>
      <c r="R208" s="274"/>
      <c r="S208" s="428"/>
      <c r="T208" s="286"/>
      <c r="U208" s="286"/>
      <c r="V208" s="285"/>
      <c r="W208" s="427"/>
    </row>
    <row r="209" spans="1:23" x14ac:dyDescent="0.15">
      <c r="A209" s="398"/>
      <c r="B209" s="272">
        <v>195</v>
      </c>
      <c r="C209" s="278">
        <f t="shared" ref="C209:C272" si="36">EOMONTH(C208,1)</f>
        <v>51226</v>
      </c>
      <c r="D209" s="280">
        <f t="shared" ref="D209:D272" si="37">IF(B209&gt;$F$6,0,G208)</f>
        <v>0</v>
      </c>
      <c r="E209" s="280">
        <f t="shared" si="30"/>
        <v>0</v>
      </c>
      <c r="F209" s="280">
        <f t="shared" si="31"/>
        <v>0</v>
      </c>
      <c r="G209" s="404">
        <f t="shared" si="32"/>
        <v>0</v>
      </c>
      <c r="H209" s="281"/>
      <c r="I209" s="413"/>
      <c r="J209" s="274">
        <v>195</v>
      </c>
      <c r="K209" s="428">
        <f t="shared" ref="K209:K272" si="38">EDATE(K208+1,1)-1</f>
        <v>51226</v>
      </c>
      <c r="L209" s="286">
        <f t="shared" ref="L209:L272" si="39">IF(J209&gt;$N$6,0,O208)</f>
        <v>0</v>
      </c>
      <c r="M209" s="286">
        <f t="shared" si="33"/>
        <v>0</v>
      </c>
      <c r="N209" s="285">
        <f t="shared" si="34"/>
        <v>0</v>
      </c>
      <c r="O209" s="427">
        <f t="shared" si="35"/>
        <v>0</v>
      </c>
      <c r="Q209" s="413"/>
      <c r="R209" s="274"/>
      <c r="S209" s="428"/>
      <c r="T209" s="286"/>
      <c r="U209" s="286"/>
      <c r="V209" s="285"/>
      <c r="W209" s="427"/>
    </row>
    <row r="210" spans="1:23" x14ac:dyDescent="0.15">
      <c r="A210" s="398"/>
      <c r="B210" s="272">
        <v>196</v>
      </c>
      <c r="C210" s="278">
        <f t="shared" si="36"/>
        <v>51256</v>
      </c>
      <c r="D210" s="280">
        <f t="shared" si="37"/>
        <v>0</v>
      </c>
      <c r="E210" s="280">
        <f t="shared" si="30"/>
        <v>0</v>
      </c>
      <c r="F210" s="280">
        <f t="shared" si="31"/>
        <v>0</v>
      </c>
      <c r="G210" s="404">
        <f t="shared" si="32"/>
        <v>0</v>
      </c>
      <c r="H210" s="281"/>
      <c r="I210" s="413"/>
      <c r="J210" s="274">
        <v>196</v>
      </c>
      <c r="K210" s="428">
        <f t="shared" si="38"/>
        <v>51256</v>
      </c>
      <c r="L210" s="286">
        <f t="shared" si="39"/>
        <v>0</v>
      </c>
      <c r="M210" s="286">
        <f t="shared" si="33"/>
        <v>0</v>
      </c>
      <c r="N210" s="285">
        <f t="shared" si="34"/>
        <v>0</v>
      </c>
      <c r="O210" s="427">
        <f t="shared" si="35"/>
        <v>0</v>
      </c>
      <c r="Q210" s="413"/>
      <c r="R210" s="274"/>
      <c r="S210" s="428"/>
      <c r="T210" s="286"/>
      <c r="U210" s="286"/>
      <c r="V210" s="285"/>
      <c r="W210" s="427"/>
    </row>
    <row r="211" spans="1:23" x14ac:dyDescent="0.15">
      <c r="A211" s="398"/>
      <c r="B211" s="272">
        <v>197</v>
      </c>
      <c r="C211" s="278">
        <f t="shared" si="36"/>
        <v>51287</v>
      </c>
      <c r="D211" s="280">
        <f t="shared" si="37"/>
        <v>0</v>
      </c>
      <c r="E211" s="280">
        <f t="shared" si="30"/>
        <v>0</v>
      </c>
      <c r="F211" s="280">
        <f t="shared" si="31"/>
        <v>0</v>
      </c>
      <c r="G211" s="404">
        <f t="shared" si="32"/>
        <v>0</v>
      </c>
      <c r="H211" s="281"/>
      <c r="I211" s="413"/>
      <c r="J211" s="274">
        <v>197</v>
      </c>
      <c r="K211" s="428">
        <f t="shared" si="38"/>
        <v>51287</v>
      </c>
      <c r="L211" s="286">
        <f t="shared" si="39"/>
        <v>0</v>
      </c>
      <c r="M211" s="286">
        <f t="shared" si="33"/>
        <v>0</v>
      </c>
      <c r="N211" s="285">
        <f t="shared" si="34"/>
        <v>0</v>
      </c>
      <c r="O211" s="427">
        <f t="shared" si="35"/>
        <v>0</v>
      </c>
      <c r="Q211" s="413"/>
      <c r="R211" s="274"/>
      <c r="S211" s="428"/>
      <c r="T211" s="286"/>
      <c r="U211" s="286"/>
      <c r="V211" s="285"/>
      <c r="W211" s="427"/>
    </row>
    <row r="212" spans="1:23" x14ac:dyDescent="0.15">
      <c r="A212" s="398"/>
      <c r="B212" s="272">
        <v>198</v>
      </c>
      <c r="C212" s="278">
        <f t="shared" si="36"/>
        <v>51317</v>
      </c>
      <c r="D212" s="280">
        <f t="shared" si="37"/>
        <v>0</v>
      </c>
      <c r="E212" s="280">
        <f t="shared" si="30"/>
        <v>0</v>
      </c>
      <c r="F212" s="280">
        <f t="shared" si="31"/>
        <v>0</v>
      </c>
      <c r="G212" s="404">
        <f t="shared" si="32"/>
        <v>0</v>
      </c>
      <c r="H212" s="281"/>
      <c r="I212" s="413"/>
      <c r="J212" s="274">
        <v>198</v>
      </c>
      <c r="K212" s="428">
        <f t="shared" si="38"/>
        <v>51317</v>
      </c>
      <c r="L212" s="286">
        <f t="shared" si="39"/>
        <v>0</v>
      </c>
      <c r="M212" s="286">
        <f t="shared" si="33"/>
        <v>0</v>
      </c>
      <c r="N212" s="285">
        <f t="shared" si="34"/>
        <v>0</v>
      </c>
      <c r="O212" s="427">
        <f t="shared" si="35"/>
        <v>0</v>
      </c>
      <c r="Q212" s="413"/>
      <c r="R212" s="274"/>
      <c r="S212" s="428"/>
      <c r="T212" s="286"/>
      <c r="U212" s="286"/>
      <c r="V212" s="285"/>
      <c r="W212" s="427"/>
    </row>
    <row r="213" spans="1:23" x14ac:dyDescent="0.15">
      <c r="A213" s="398"/>
      <c r="B213" s="272">
        <v>199</v>
      </c>
      <c r="C213" s="278">
        <f t="shared" si="36"/>
        <v>51348</v>
      </c>
      <c r="D213" s="280">
        <f t="shared" si="37"/>
        <v>0</v>
      </c>
      <c r="E213" s="280">
        <f t="shared" si="30"/>
        <v>0</v>
      </c>
      <c r="F213" s="280">
        <f t="shared" si="31"/>
        <v>0</v>
      </c>
      <c r="G213" s="404">
        <f t="shared" si="32"/>
        <v>0</v>
      </c>
      <c r="H213" s="281"/>
      <c r="I213" s="413"/>
      <c r="J213" s="274">
        <v>199</v>
      </c>
      <c r="K213" s="428">
        <f t="shared" si="38"/>
        <v>51348</v>
      </c>
      <c r="L213" s="286">
        <f t="shared" si="39"/>
        <v>0</v>
      </c>
      <c r="M213" s="286">
        <f t="shared" si="33"/>
        <v>0</v>
      </c>
      <c r="N213" s="285">
        <f t="shared" si="34"/>
        <v>0</v>
      </c>
      <c r="O213" s="427">
        <f t="shared" si="35"/>
        <v>0</v>
      </c>
      <c r="Q213" s="413"/>
      <c r="R213" s="274"/>
      <c r="S213" s="428"/>
      <c r="T213" s="286"/>
      <c r="U213" s="286"/>
      <c r="V213" s="285"/>
      <c r="W213" s="427"/>
    </row>
    <row r="214" spans="1:23" x14ac:dyDescent="0.15">
      <c r="A214" s="398"/>
      <c r="B214" s="272">
        <v>200</v>
      </c>
      <c r="C214" s="278">
        <f t="shared" si="36"/>
        <v>51379</v>
      </c>
      <c r="D214" s="280">
        <f t="shared" si="37"/>
        <v>0</v>
      </c>
      <c r="E214" s="280">
        <f t="shared" si="30"/>
        <v>0</v>
      </c>
      <c r="F214" s="280">
        <f t="shared" si="31"/>
        <v>0</v>
      </c>
      <c r="G214" s="404">
        <f t="shared" si="32"/>
        <v>0</v>
      </c>
      <c r="H214" s="281"/>
      <c r="I214" s="413"/>
      <c r="J214" s="274">
        <v>200</v>
      </c>
      <c r="K214" s="428">
        <f t="shared" si="38"/>
        <v>51379</v>
      </c>
      <c r="L214" s="286">
        <f t="shared" si="39"/>
        <v>0</v>
      </c>
      <c r="M214" s="286">
        <f t="shared" si="33"/>
        <v>0</v>
      </c>
      <c r="N214" s="285">
        <f t="shared" si="34"/>
        <v>0</v>
      </c>
      <c r="O214" s="427">
        <f t="shared" si="35"/>
        <v>0</v>
      </c>
      <c r="Q214" s="413"/>
      <c r="R214" s="274"/>
      <c r="S214" s="428"/>
      <c r="T214" s="286"/>
      <c r="U214" s="286"/>
      <c r="V214" s="285"/>
      <c r="W214" s="427"/>
    </row>
    <row r="215" spans="1:23" x14ac:dyDescent="0.15">
      <c r="A215" s="398"/>
      <c r="B215" s="272">
        <v>201</v>
      </c>
      <c r="C215" s="278">
        <f t="shared" si="36"/>
        <v>51409</v>
      </c>
      <c r="D215" s="280">
        <f t="shared" si="37"/>
        <v>0</v>
      </c>
      <c r="E215" s="280">
        <f t="shared" si="30"/>
        <v>0</v>
      </c>
      <c r="F215" s="280">
        <f t="shared" si="31"/>
        <v>0</v>
      </c>
      <c r="G215" s="404">
        <f t="shared" si="32"/>
        <v>0</v>
      </c>
      <c r="H215" s="281"/>
      <c r="I215" s="413"/>
      <c r="J215" s="274">
        <v>201</v>
      </c>
      <c r="K215" s="428">
        <f t="shared" si="38"/>
        <v>51409</v>
      </c>
      <c r="L215" s="286">
        <f t="shared" si="39"/>
        <v>0</v>
      </c>
      <c r="M215" s="286">
        <f t="shared" si="33"/>
        <v>0</v>
      </c>
      <c r="N215" s="285">
        <f t="shared" si="34"/>
        <v>0</v>
      </c>
      <c r="O215" s="427">
        <f t="shared" si="35"/>
        <v>0</v>
      </c>
      <c r="Q215" s="413"/>
      <c r="R215" s="274"/>
      <c r="S215" s="428"/>
      <c r="T215" s="286"/>
      <c r="U215" s="286"/>
      <c r="V215" s="285"/>
      <c r="W215" s="427"/>
    </row>
    <row r="216" spans="1:23" x14ac:dyDescent="0.15">
      <c r="A216" s="398"/>
      <c r="B216" s="272">
        <v>202</v>
      </c>
      <c r="C216" s="278">
        <f t="shared" si="36"/>
        <v>51440</v>
      </c>
      <c r="D216" s="280">
        <f t="shared" si="37"/>
        <v>0</v>
      </c>
      <c r="E216" s="280">
        <f t="shared" si="30"/>
        <v>0</v>
      </c>
      <c r="F216" s="280">
        <f t="shared" si="31"/>
        <v>0</v>
      </c>
      <c r="G216" s="404">
        <f t="shared" si="32"/>
        <v>0</v>
      </c>
      <c r="H216" s="281"/>
      <c r="I216" s="413"/>
      <c r="J216" s="274">
        <v>202</v>
      </c>
      <c r="K216" s="428">
        <f t="shared" si="38"/>
        <v>51440</v>
      </c>
      <c r="L216" s="286">
        <f t="shared" si="39"/>
        <v>0</v>
      </c>
      <c r="M216" s="286">
        <f t="shared" si="33"/>
        <v>0</v>
      </c>
      <c r="N216" s="285">
        <f t="shared" si="34"/>
        <v>0</v>
      </c>
      <c r="O216" s="427">
        <f t="shared" si="35"/>
        <v>0</v>
      </c>
      <c r="Q216" s="413"/>
      <c r="R216" s="274"/>
      <c r="S216" s="428"/>
      <c r="T216" s="286"/>
      <c r="U216" s="286"/>
      <c r="V216" s="285"/>
      <c r="W216" s="427"/>
    </row>
    <row r="217" spans="1:23" x14ac:dyDescent="0.15">
      <c r="A217" s="398"/>
      <c r="B217" s="272">
        <v>203</v>
      </c>
      <c r="C217" s="278">
        <f t="shared" si="36"/>
        <v>51470</v>
      </c>
      <c r="D217" s="280">
        <f t="shared" si="37"/>
        <v>0</v>
      </c>
      <c r="E217" s="280">
        <f t="shared" si="30"/>
        <v>0</v>
      </c>
      <c r="F217" s="280">
        <f t="shared" si="31"/>
        <v>0</v>
      </c>
      <c r="G217" s="404">
        <f t="shared" si="32"/>
        <v>0</v>
      </c>
      <c r="H217" s="281"/>
      <c r="I217" s="413"/>
      <c r="J217" s="274">
        <v>203</v>
      </c>
      <c r="K217" s="428">
        <f t="shared" si="38"/>
        <v>51470</v>
      </c>
      <c r="L217" s="286">
        <f t="shared" si="39"/>
        <v>0</v>
      </c>
      <c r="M217" s="286">
        <f t="shared" si="33"/>
        <v>0</v>
      </c>
      <c r="N217" s="285">
        <f t="shared" si="34"/>
        <v>0</v>
      </c>
      <c r="O217" s="427">
        <f t="shared" si="35"/>
        <v>0</v>
      </c>
      <c r="Q217" s="413"/>
      <c r="R217" s="274"/>
      <c r="S217" s="428"/>
      <c r="T217" s="286"/>
      <c r="U217" s="286"/>
      <c r="V217" s="285"/>
      <c r="W217" s="427"/>
    </row>
    <row r="218" spans="1:23" x14ac:dyDescent="0.15">
      <c r="A218" s="398"/>
      <c r="B218" s="272">
        <v>204</v>
      </c>
      <c r="C218" s="278">
        <f t="shared" si="36"/>
        <v>51501</v>
      </c>
      <c r="D218" s="280">
        <f t="shared" si="37"/>
        <v>0</v>
      </c>
      <c r="E218" s="280">
        <f t="shared" si="30"/>
        <v>0</v>
      </c>
      <c r="F218" s="280">
        <f t="shared" si="31"/>
        <v>0</v>
      </c>
      <c r="G218" s="404">
        <f t="shared" si="32"/>
        <v>0</v>
      </c>
      <c r="H218" s="281"/>
      <c r="I218" s="413"/>
      <c r="J218" s="274">
        <v>204</v>
      </c>
      <c r="K218" s="428">
        <f t="shared" si="38"/>
        <v>51501</v>
      </c>
      <c r="L218" s="286">
        <f t="shared" si="39"/>
        <v>0</v>
      </c>
      <c r="M218" s="286">
        <f t="shared" si="33"/>
        <v>0</v>
      </c>
      <c r="N218" s="285">
        <f t="shared" si="34"/>
        <v>0</v>
      </c>
      <c r="O218" s="427">
        <f t="shared" si="35"/>
        <v>0</v>
      </c>
      <c r="Q218" s="413"/>
      <c r="R218" s="274"/>
      <c r="S218" s="428"/>
      <c r="T218" s="286"/>
      <c r="U218" s="286"/>
      <c r="V218" s="285"/>
      <c r="W218" s="427"/>
    </row>
    <row r="219" spans="1:23" x14ac:dyDescent="0.15">
      <c r="A219" s="398"/>
      <c r="B219" s="272">
        <v>205</v>
      </c>
      <c r="C219" s="278">
        <f t="shared" si="36"/>
        <v>51532</v>
      </c>
      <c r="D219" s="280">
        <f t="shared" si="37"/>
        <v>0</v>
      </c>
      <c r="E219" s="280">
        <f t="shared" si="30"/>
        <v>0</v>
      </c>
      <c r="F219" s="280">
        <f t="shared" si="31"/>
        <v>0</v>
      </c>
      <c r="G219" s="404">
        <f t="shared" si="32"/>
        <v>0</v>
      </c>
      <c r="H219" s="281"/>
      <c r="I219" s="413"/>
      <c r="J219" s="274">
        <v>205</v>
      </c>
      <c r="K219" s="428">
        <f t="shared" si="38"/>
        <v>51532</v>
      </c>
      <c r="L219" s="286">
        <f t="shared" si="39"/>
        <v>0</v>
      </c>
      <c r="M219" s="286">
        <f t="shared" si="33"/>
        <v>0</v>
      </c>
      <c r="N219" s="285">
        <f t="shared" si="34"/>
        <v>0</v>
      </c>
      <c r="O219" s="427">
        <f t="shared" si="35"/>
        <v>0</v>
      </c>
      <c r="Q219" s="413"/>
      <c r="R219" s="274"/>
      <c r="S219" s="428"/>
      <c r="T219" s="286"/>
      <c r="U219" s="286"/>
      <c r="V219" s="285"/>
      <c r="W219" s="427"/>
    </row>
    <row r="220" spans="1:23" x14ac:dyDescent="0.15">
      <c r="A220" s="398"/>
      <c r="B220" s="272">
        <v>206</v>
      </c>
      <c r="C220" s="278">
        <f t="shared" si="36"/>
        <v>51560</v>
      </c>
      <c r="D220" s="280">
        <f t="shared" si="37"/>
        <v>0</v>
      </c>
      <c r="E220" s="280">
        <f t="shared" si="30"/>
        <v>0</v>
      </c>
      <c r="F220" s="280">
        <f t="shared" si="31"/>
        <v>0</v>
      </c>
      <c r="G220" s="404">
        <f t="shared" si="32"/>
        <v>0</v>
      </c>
      <c r="H220" s="281"/>
      <c r="I220" s="413"/>
      <c r="J220" s="274">
        <v>206</v>
      </c>
      <c r="K220" s="428">
        <f t="shared" si="38"/>
        <v>51560</v>
      </c>
      <c r="L220" s="286">
        <f t="shared" si="39"/>
        <v>0</v>
      </c>
      <c r="M220" s="286">
        <f t="shared" si="33"/>
        <v>0</v>
      </c>
      <c r="N220" s="285">
        <f t="shared" si="34"/>
        <v>0</v>
      </c>
      <c r="O220" s="427">
        <f t="shared" si="35"/>
        <v>0</v>
      </c>
      <c r="Q220" s="413"/>
      <c r="R220" s="274"/>
      <c r="S220" s="428"/>
      <c r="T220" s="286"/>
      <c r="U220" s="286"/>
      <c r="V220" s="285"/>
      <c r="W220" s="427"/>
    </row>
    <row r="221" spans="1:23" x14ac:dyDescent="0.15">
      <c r="A221" s="398"/>
      <c r="B221" s="272">
        <v>207</v>
      </c>
      <c r="C221" s="278">
        <f t="shared" si="36"/>
        <v>51591</v>
      </c>
      <c r="D221" s="280">
        <f t="shared" si="37"/>
        <v>0</v>
      </c>
      <c r="E221" s="280">
        <f t="shared" si="30"/>
        <v>0</v>
      </c>
      <c r="F221" s="280">
        <f t="shared" si="31"/>
        <v>0</v>
      </c>
      <c r="G221" s="404">
        <f t="shared" si="32"/>
        <v>0</v>
      </c>
      <c r="H221" s="281"/>
      <c r="I221" s="413"/>
      <c r="J221" s="274">
        <v>207</v>
      </c>
      <c r="K221" s="428">
        <f t="shared" si="38"/>
        <v>51591</v>
      </c>
      <c r="L221" s="286">
        <f t="shared" si="39"/>
        <v>0</v>
      </c>
      <c r="M221" s="286">
        <f t="shared" si="33"/>
        <v>0</v>
      </c>
      <c r="N221" s="285">
        <f t="shared" si="34"/>
        <v>0</v>
      </c>
      <c r="O221" s="427">
        <f t="shared" si="35"/>
        <v>0</v>
      </c>
      <c r="Q221" s="413"/>
      <c r="R221" s="274"/>
      <c r="S221" s="428"/>
      <c r="T221" s="286"/>
      <c r="U221" s="286"/>
      <c r="V221" s="285"/>
      <c r="W221" s="427"/>
    </row>
    <row r="222" spans="1:23" x14ac:dyDescent="0.15">
      <c r="A222" s="398"/>
      <c r="B222" s="272">
        <v>208</v>
      </c>
      <c r="C222" s="278">
        <f t="shared" si="36"/>
        <v>51621</v>
      </c>
      <c r="D222" s="280">
        <f t="shared" si="37"/>
        <v>0</v>
      </c>
      <c r="E222" s="280">
        <f t="shared" si="30"/>
        <v>0</v>
      </c>
      <c r="F222" s="280">
        <f t="shared" si="31"/>
        <v>0</v>
      </c>
      <c r="G222" s="404">
        <f t="shared" si="32"/>
        <v>0</v>
      </c>
      <c r="H222" s="281"/>
      <c r="I222" s="413"/>
      <c r="J222" s="274">
        <v>208</v>
      </c>
      <c r="K222" s="428">
        <f t="shared" si="38"/>
        <v>51621</v>
      </c>
      <c r="L222" s="286">
        <f t="shared" si="39"/>
        <v>0</v>
      </c>
      <c r="M222" s="286">
        <f t="shared" si="33"/>
        <v>0</v>
      </c>
      <c r="N222" s="285">
        <f t="shared" si="34"/>
        <v>0</v>
      </c>
      <c r="O222" s="427">
        <f t="shared" si="35"/>
        <v>0</v>
      </c>
      <c r="Q222" s="413"/>
      <c r="R222" s="274"/>
      <c r="S222" s="428"/>
      <c r="T222" s="286"/>
      <c r="U222" s="286"/>
      <c r="V222" s="285"/>
      <c r="W222" s="427"/>
    </row>
    <row r="223" spans="1:23" x14ac:dyDescent="0.15">
      <c r="A223" s="398"/>
      <c r="B223" s="272">
        <v>209</v>
      </c>
      <c r="C223" s="278">
        <f t="shared" si="36"/>
        <v>51652</v>
      </c>
      <c r="D223" s="280">
        <f t="shared" si="37"/>
        <v>0</v>
      </c>
      <c r="E223" s="280">
        <f t="shared" si="30"/>
        <v>0</v>
      </c>
      <c r="F223" s="280">
        <f t="shared" si="31"/>
        <v>0</v>
      </c>
      <c r="G223" s="404">
        <f t="shared" si="32"/>
        <v>0</v>
      </c>
      <c r="H223" s="281"/>
      <c r="I223" s="413"/>
      <c r="J223" s="274">
        <v>209</v>
      </c>
      <c r="K223" s="428">
        <f t="shared" si="38"/>
        <v>51652</v>
      </c>
      <c r="L223" s="286">
        <f t="shared" si="39"/>
        <v>0</v>
      </c>
      <c r="M223" s="286">
        <f t="shared" si="33"/>
        <v>0</v>
      </c>
      <c r="N223" s="285">
        <f t="shared" si="34"/>
        <v>0</v>
      </c>
      <c r="O223" s="427">
        <f t="shared" si="35"/>
        <v>0</v>
      </c>
      <c r="Q223" s="413"/>
      <c r="R223" s="274"/>
      <c r="S223" s="428"/>
      <c r="T223" s="286"/>
      <c r="U223" s="286"/>
      <c r="V223" s="285"/>
      <c r="W223" s="427"/>
    </row>
    <row r="224" spans="1:23" x14ac:dyDescent="0.15">
      <c r="A224" s="398"/>
      <c r="B224" s="272">
        <v>210</v>
      </c>
      <c r="C224" s="278">
        <f t="shared" si="36"/>
        <v>51682</v>
      </c>
      <c r="D224" s="280">
        <f t="shared" si="37"/>
        <v>0</v>
      </c>
      <c r="E224" s="280">
        <f t="shared" si="30"/>
        <v>0</v>
      </c>
      <c r="F224" s="280">
        <f t="shared" si="31"/>
        <v>0</v>
      </c>
      <c r="G224" s="404">
        <f t="shared" si="32"/>
        <v>0</v>
      </c>
      <c r="H224" s="281"/>
      <c r="I224" s="413"/>
      <c r="J224" s="274">
        <v>210</v>
      </c>
      <c r="K224" s="428">
        <f t="shared" si="38"/>
        <v>51682</v>
      </c>
      <c r="L224" s="286">
        <f t="shared" si="39"/>
        <v>0</v>
      </c>
      <c r="M224" s="286">
        <f t="shared" si="33"/>
        <v>0</v>
      </c>
      <c r="N224" s="285">
        <f t="shared" si="34"/>
        <v>0</v>
      </c>
      <c r="O224" s="427">
        <f t="shared" si="35"/>
        <v>0</v>
      </c>
      <c r="Q224" s="413"/>
      <c r="R224" s="274"/>
      <c r="S224" s="428"/>
      <c r="T224" s="286"/>
      <c r="U224" s="286"/>
      <c r="V224" s="285"/>
      <c r="W224" s="427"/>
    </row>
    <row r="225" spans="1:23" x14ac:dyDescent="0.15">
      <c r="A225" s="398"/>
      <c r="B225" s="272">
        <v>211</v>
      </c>
      <c r="C225" s="278">
        <f t="shared" si="36"/>
        <v>51713</v>
      </c>
      <c r="D225" s="280">
        <f t="shared" si="37"/>
        <v>0</v>
      </c>
      <c r="E225" s="280">
        <f t="shared" si="30"/>
        <v>0</v>
      </c>
      <c r="F225" s="280">
        <f t="shared" si="31"/>
        <v>0</v>
      </c>
      <c r="G225" s="404">
        <f t="shared" si="32"/>
        <v>0</v>
      </c>
      <c r="H225" s="281"/>
      <c r="I225" s="413"/>
      <c r="J225" s="274">
        <v>211</v>
      </c>
      <c r="K225" s="428">
        <f t="shared" si="38"/>
        <v>51713</v>
      </c>
      <c r="L225" s="286">
        <f t="shared" si="39"/>
        <v>0</v>
      </c>
      <c r="M225" s="286">
        <f t="shared" si="33"/>
        <v>0</v>
      </c>
      <c r="N225" s="285">
        <f t="shared" si="34"/>
        <v>0</v>
      </c>
      <c r="O225" s="427">
        <f t="shared" si="35"/>
        <v>0</v>
      </c>
      <c r="Q225" s="413"/>
      <c r="R225" s="274"/>
      <c r="S225" s="428"/>
      <c r="T225" s="286"/>
      <c r="U225" s="286"/>
      <c r="V225" s="285"/>
      <c r="W225" s="427"/>
    </row>
    <row r="226" spans="1:23" x14ac:dyDescent="0.15">
      <c r="A226" s="398"/>
      <c r="B226" s="272">
        <v>212</v>
      </c>
      <c r="C226" s="278">
        <f t="shared" si="36"/>
        <v>51744</v>
      </c>
      <c r="D226" s="280">
        <f t="shared" si="37"/>
        <v>0</v>
      </c>
      <c r="E226" s="280">
        <f t="shared" si="30"/>
        <v>0</v>
      </c>
      <c r="F226" s="280">
        <f t="shared" si="31"/>
        <v>0</v>
      </c>
      <c r="G226" s="404">
        <f t="shared" si="32"/>
        <v>0</v>
      </c>
      <c r="H226" s="281"/>
      <c r="I226" s="413"/>
      <c r="J226" s="274">
        <v>212</v>
      </c>
      <c r="K226" s="428">
        <f t="shared" si="38"/>
        <v>51744</v>
      </c>
      <c r="L226" s="286">
        <f t="shared" si="39"/>
        <v>0</v>
      </c>
      <c r="M226" s="286">
        <f t="shared" si="33"/>
        <v>0</v>
      </c>
      <c r="N226" s="285">
        <f t="shared" si="34"/>
        <v>0</v>
      </c>
      <c r="O226" s="427">
        <f t="shared" si="35"/>
        <v>0</v>
      </c>
      <c r="Q226" s="413"/>
      <c r="R226" s="274"/>
      <c r="S226" s="428"/>
      <c r="T226" s="286"/>
      <c r="U226" s="286"/>
      <c r="V226" s="285"/>
      <c r="W226" s="427"/>
    </row>
    <row r="227" spans="1:23" x14ac:dyDescent="0.15">
      <c r="A227" s="398"/>
      <c r="B227" s="272">
        <v>213</v>
      </c>
      <c r="C227" s="278">
        <f t="shared" si="36"/>
        <v>51774</v>
      </c>
      <c r="D227" s="280">
        <f t="shared" si="37"/>
        <v>0</v>
      </c>
      <c r="E227" s="280">
        <f t="shared" si="30"/>
        <v>0</v>
      </c>
      <c r="F227" s="280">
        <f t="shared" si="31"/>
        <v>0</v>
      </c>
      <c r="G227" s="404">
        <f t="shared" si="32"/>
        <v>0</v>
      </c>
      <c r="H227" s="281"/>
      <c r="I227" s="413"/>
      <c r="J227" s="274">
        <v>213</v>
      </c>
      <c r="K227" s="428">
        <f t="shared" si="38"/>
        <v>51774</v>
      </c>
      <c r="L227" s="286">
        <f t="shared" si="39"/>
        <v>0</v>
      </c>
      <c r="M227" s="286">
        <f t="shared" si="33"/>
        <v>0</v>
      </c>
      <c r="N227" s="285">
        <f t="shared" si="34"/>
        <v>0</v>
      </c>
      <c r="O227" s="427">
        <f t="shared" si="35"/>
        <v>0</v>
      </c>
      <c r="Q227" s="413"/>
      <c r="R227" s="274"/>
      <c r="S227" s="428"/>
      <c r="T227" s="286"/>
      <c r="U227" s="286"/>
      <c r="V227" s="285"/>
      <c r="W227" s="427"/>
    </row>
    <row r="228" spans="1:23" x14ac:dyDescent="0.15">
      <c r="A228" s="398"/>
      <c r="B228" s="272">
        <v>214</v>
      </c>
      <c r="C228" s="278">
        <f t="shared" si="36"/>
        <v>51805</v>
      </c>
      <c r="D228" s="280">
        <f t="shared" si="37"/>
        <v>0</v>
      </c>
      <c r="E228" s="280">
        <f t="shared" si="30"/>
        <v>0</v>
      </c>
      <c r="F228" s="280">
        <f t="shared" si="31"/>
        <v>0</v>
      </c>
      <c r="G228" s="404">
        <f t="shared" si="32"/>
        <v>0</v>
      </c>
      <c r="H228" s="281"/>
      <c r="I228" s="413"/>
      <c r="J228" s="274">
        <v>214</v>
      </c>
      <c r="K228" s="428">
        <f t="shared" si="38"/>
        <v>51805</v>
      </c>
      <c r="L228" s="286">
        <f t="shared" si="39"/>
        <v>0</v>
      </c>
      <c r="M228" s="286">
        <f t="shared" si="33"/>
        <v>0</v>
      </c>
      <c r="N228" s="285">
        <f t="shared" si="34"/>
        <v>0</v>
      </c>
      <c r="O228" s="427">
        <f t="shared" si="35"/>
        <v>0</v>
      </c>
      <c r="Q228" s="413"/>
      <c r="R228" s="274"/>
      <c r="S228" s="428"/>
      <c r="T228" s="286"/>
      <c r="U228" s="286"/>
      <c r="V228" s="285"/>
      <c r="W228" s="427"/>
    </row>
    <row r="229" spans="1:23" x14ac:dyDescent="0.15">
      <c r="A229" s="398"/>
      <c r="B229" s="272">
        <v>215</v>
      </c>
      <c r="C229" s="278">
        <f t="shared" si="36"/>
        <v>51835</v>
      </c>
      <c r="D229" s="280">
        <f t="shared" si="37"/>
        <v>0</v>
      </c>
      <c r="E229" s="280">
        <f t="shared" si="30"/>
        <v>0</v>
      </c>
      <c r="F229" s="280">
        <f t="shared" si="31"/>
        <v>0</v>
      </c>
      <c r="G229" s="404">
        <f t="shared" si="32"/>
        <v>0</v>
      </c>
      <c r="H229" s="281"/>
      <c r="I229" s="413"/>
      <c r="J229" s="274">
        <v>215</v>
      </c>
      <c r="K229" s="428">
        <f t="shared" si="38"/>
        <v>51835</v>
      </c>
      <c r="L229" s="286">
        <f t="shared" si="39"/>
        <v>0</v>
      </c>
      <c r="M229" s="286">
        <f t="shared" si="33"/>
        <v>0</v>
      </c>
      <c r="N229" s="285">
        <f t="shared" si="34"/>
        <v>0</v>
      </c>
      <c r="O229" s="427">
        <f t="shared" si="35"/>
        <v>0</v>
      </c>
      <c r="Q229" s="413"/>
      <c r="R229" s="274"/>
      <c r="S229" s="428"/>
      <c r="T229" s="286"/>
      <c r="U229" s="286"/>
      <c r="V229" s="285"/>
      <c r="W229" s="427"/>
    </row>
    <row r="230" spans="1:23" x14ac:dyDescent="0.15">
      <c r="A230" s="398"/>
      <c r="B230" s="272">
        <v>216</v>
      </c>
      <c r="C230" s="278">
        <f t="shared" si="36"/>
        <v>51866</v>
      </c>
      <c r="D230" s="280">
        <f t="shared" si="37"/>
        <v>0</v>
      </c>
      <c r="E230" s="280">
        <f t="shared" si="30"/>
        <v>0</v>
      </c>
      <c r="F230" s="280">
        <f t="shared" si="31"/>
        <v>0</v>
      </c>
      <c r="G230" s="404">
        <f t="shared" si="32"/>
        <v>0</v>
      </c>
      <c r="H230" s="281"/>
      <c r="I230" s="413"/>
      <c r="J230" s="274">
        <v>216</v>
      </c>
      <c r="K230" s="428">
        <f t="shared" si="38"/>
        <v>51866</v>
      </c>
      <c r="L230" s="286">
        <f t="shared" si="39"/>
        <v>0</v>
      </c>
      <c r="M230" s="286">
        <f t="shared" si="33"/>
        <v>0</v>
      </c>
      <c r="N230" s="285">
        <f t="shared" si="34"/>
        <v>0</v>
      </c>
      <c r="O230" s="427">
        <f t="shared" si="35"/>
        <v>0</v>
      </c>
      <c r="Q230" s="413"/>
      <c r="R230" s="274"/>
      <c r="S230" s="428"/>
      <c r="T230" s="286"/>
      <c r="U230" s="286"/>
      <c r="V230" s="285"/>
      <c r="W230" s="427"/>
    </row>
    <row r="231" spans="1:23" x14ac:dyDescent="0.15">
      <c r="A231" s="398"/>
      <c r="B231" s="272">
        <v>217</v>
      </c>
      <c r="C231" s="278">
        <f t="shared" si="36"/>
        <v>51897</v>
      </c>
      <c r="D231" s="280">
        <f t="shared" si="37"/>
        <v>0</v>
      </c>
      <c r="E231" s="280">
        <f t="shared" si="30"/>
        <v>0</v>
      </c>
      <c r="F231" s="280">
        <f t="shared" si="31"/>
        <v>0</v>
      </c>
      <c r="G231" s="404">
        <f t="shared" si="32"/>
        <v>0</v>
      </c>
      <c r="H231" s="281"/>
      <c r="I231" s="413"/>
      <c r="J231" s="274">
        <v>217</v>
      </c>
      <c r="K231" s="428">
        <f t="shared" si="38"/>
        <v>51897</v>
      </c>
      <c r="L231" s="286">
        <f t="shared" si="39"/>
        <v>0</v>
      </c>
      <c r="M231" s="286">
        <f t="shared" si="33"/>
        <v>0</v>
      </c>
      <c r="N231" s="285">
        <f t="shared" si="34"/>
        <v>0</v>
      </c>
      <c r="O231" s="427">
        <f t="shared" si="35"/>
        <v>0</v>
      </c>
      <c r="Q231" s="413"/>
      <c r="R231" s="274"/>
      <c r="S231" s="428"/>
      <c r="T231" s="286"/>
      <c r="U231" s="286"/>
      <c r="V231" s="285"/>
      <c r="W231" s="427"/>
    </row>
    <row r="232" spans="1:23" x14ac:dyDescent="0.15">
      <c r="A232" s="398"/>
      <c r="B232" s="272">
        <v>218</v>
      </c>
      <c r="C232" s="278">
        <f t="shared" si="36"/>
        <v>51925</v>
      </c>
      <c r="D232" s="280">
        <f t="shared" si="37"/>
        <v>0</v>
      </c>
      <c r="E232" s="280">
        <f t="shared" si="30"/>
        <v>0</v>
      </c>
      <c r="F232" s="280">
        <f t="shared" si="31"/>
        <v>0</v>
      </c>
      <c r="G232" s="404">
        <f t="shared" si="32"/>
        <v>0</v>
      </c>
      <c r="H232" s="281"/>
      <c r="I232" s="413"/>
      <c r="J232" s="274">
        <v>218</v>
      </c>
      <c r="K232" s="428">
        <f t="shared" si="38"/>
        <v>51925</v>
      </c>
      <c r="L232" s="286">
        <f t="shared" si="39"/>
        <v>0</v>
      </c>
      <c r="M232" s="286">
        <f t="shared" si="33"/>
        <v>0</v>
      </c>
      <c r="N232" s="285">
        <f t="shared" si="34"/>
        <v>0</v>
      </c>
      <c r="O232" s="427">
        <f t="shared" si="35"/>
        <v>0</v>
      </c>
      <c r="Q232" s="413"/>
      <c r="R232" s="274"/>
      <c r="S232" s="428"/>
      <c r="T232" s="286"/>
      <c r="U232" s="286"/>
      <c r="V232" s="285"/>
      <c r="W232" s="427"/>
    </row>
    <row r="233" spans="1:23" x14ac:dyDescent="0.15">
      <c r="A233" s="398"/>
      <c r="B233" s="272">
        <v>219</v>
      </c>
      <c r="C233" s="278">
        <f t="shared" si="36"/>
        <v>51956</v>
      </c>
      <c r="D233" s="280">
        <f t="shared" si="37"/>
        <v>0</v>
      </c>
      <c r="E233" s="280">
        <f t="shared" si="30"/>
        <v>0</v>
      </c>
      <c r="F233" s="280">
        <f t="shared" si="31"/>
        <v>0</v>
      </c>
      <c r="G233" s="404">
        <f t="shared" si="32"/>
        <v>0</v>
      </c>
      <c r="H233" s="281"/>
      <c r="I233" s="413"/>
      <c r="J233" s="274">
        <v>219</v>
      </c>
      <c r="K233" s="428">
        <f t="shared" si="38"/>
        <v>51956</v>
      </c>
      <c r="L233" s="286">
        <f t="shared" si="39"/>
        <v>0</v>
      </c>
      <c r="M233" s="286">
        <f t="shared" si="33"/>
        <v>0</v>
      </c>
      <c r="N233" s="285">
        <f t="shared" si="34"/>
        <v>0</v>
      </c>
      <c r="O233" s="427">
        <f t="shared" si="35"/>
        <v>0</v>
      </c>
      <c r="Q233" s="413"/>
      <c r="R233" s="274"/>
      <c r="S233" s="428"/>
      <c r="T233" s="286"/>
      <c r="U233" s="286"/>
      <c r="V233" s="285"/>
      <c r="W233" s="427"/>
    </row>
    <row r="234" spans="1:23" x14ac:dyDescent="0.15">
      <c r="A234" s="398"/>
      <c r="B234" s="272">
        <v>220</v>
      </c>
      <c r="C234" s="278">
        <f t="shared" si="36"/>
        <v>51986</v>
      </c>
      <c r="D234" s="280">
        <f t="shared" si="37"/>
        <v>0</v>
      </c>
      <c r="E234" s="280">
        <f t="shared" si="30"/>
        <v>0</v>
      </c>
      <c r="F234" s="280">
        <f t="shared" si="31"/>
        <v>0</v>
      </c>
      <c r="G234" s="404">
        <f t="shared" si="32"/>
        <v>0</v>
      </c>
      <c r="H234" s="281"/>
      <c r="I234" s="413"/>
      <c r="J234" s="274">
        <v>220</v>
      </c>
      <c r="K234" s="428">
        <f t="shared" si="38"/>
        <v>51986</v>
      </c>
      <c r="L234" s="286">
        <f t="shared" si="39"/>
        <v>0</v>
      </c>
      <c r="M234" s="286">
        <f t="shared" si="33"/>
        <v>0</v>
      </c>
      <c r="N234" s="285">
        <f t="shared" si="34"/>
        <v>0</v>
      </c>
      <c r="O234" s="427">
        <f t="shared" si="35"/>
        <v>0</v>
      </c>
      <c r="Q234" s="413"/>
      <c r="R234" s="274"/>
      <c r="S234" s="428"/>
      <c r="T234" s="286"/>
      <c r="U234" s="286"/>
      <c r="V234" s="285"/>
      <c r="W234" s="427"/>
    </row>
    <row r="235" spans="1:23" x14ac:dyDescent="0.15">
      <c r="A235" s="398"/>
      <c r="B235" s="272">
        <v>221</v>
      </c>
      <c r="C235" s="278">
        <f t="shared" si="36"/>
        <v>52017</v>
      </c>
      <c r="D235" s="280">
        <f t="shared" si="37"/>
        <v>0</v>
      </c>
      <c r="E235" s="280">
        <f t="shared" si="30"/>
        <v>0</v>
      </c>
      <c r="F235" s="280">
        <f t="shared" si="31"/>
        <v>0</v>
      </c>
      <c r="G235" s="404">
        <f t="shared" si="32"/>
        <v>0</v>
      </c>
      <c r="H235" s="281"/>
      <c r="I235" s="413"/>
      <c r="J235" s="274">
        <v>221</v>
      </c>
      <c r="K235" s="428">
        <f t="shared" si="38"/>
        <v>52017</v>
      </c>
      <c r="L235" s="286">
        <f t="shared" si="39"/>
        <v>0</v>
      </c>
      <c r="M235" s="286">
        <f t="shared" si="33"/>
        <v>0</v>
      </c>
      <c r="N235" s="285">
        <f t="shared" si="34"/>
        <v>0</v>
      </c>
      <c r="O235" s="427">
        <f t="shared" si="35"/>
        <v>0</v>
      </c>
      <c r="Q235" s="413"/>
      <c r="R235" s="274"/>
      <c r="S235" s="428"/>
      <c r="T235" s="286"/>
      <c r="U235" s="286"/>
      <c r="V235" s="285"/>
      <c r="W235" s="427"/>
    </row>
    <row r="236" spans="1:23" x14ac:dyDescent="0.15">
      <c r="A236" s="398"/>
      <c r="B236" s="272">
        <v>222</v>
      </c>
      <c r="C236" s="278">
        <f t="shared" si="36"/>
        <v>52047</v>
      </c>
      <c r="D236" s="280">
        <f t="shared" si="37"/>
        <v>0</v>
      </c>
      <c r="E236" s="280">
        <f t="shared" si="30"/>
        <v>0</v>
      </c>
      <c r="F236" s="280">
        <f t="shared" si="31"/>
        <v>0</v>
      </c>
      <c r="G236" s="404">
        <f t="shared" si="32"/>
        <v>0</v>
      </c>
      <c r="H236" s="281"/>
      <c r="I236" s="413"/>
      <c r="J236" s="274">
        <v>222</v>
      </c>
      <c r="K236" s="428">
        <f t="shared" si="38"/>
        <v>52047</v>
      </c>
      <c r="L236" s="286">
        <f t="shared" si="39"/>
        <v>0</v>
      </c>
      <c r="M236" s="286">
        <f t="shared" si="33"/>
        <v>0</v>
      </c>
      <c r="N236" s="285">
        <f t="shared" si="34"/>
        <v>0</v>
      </c>
      <c r="O236" s="427">
        <f t="shared" si="35"/>
        <v>0</v>
      </c>
      <c r="Q236" s="413"/>
      <c r="R236" s="274"/>
      <c r="S236" s="428"/>
      <c r="T236" s="286"/>
      <c r="U236" s="286"/>
      <c r="V236" s="285"/>
      <c r="W236" s="427"/>
    </row>
    <row r="237" spans="1:23" x14ac:dyDescent="0.15">
      <c r="A237" s="398"/>
      <c r="B237" s="272">
        <v>223</v>
      </c>
      <c r="C237" s="278">
        <f t="shared" si="36"/>
        <v>52078</v>
      </c>
      <c r="D237" s="280">
        <f t="shared" si="37"/>
        <v>0</v>
      </c>
      <c r="E237" s="280">
        <f t="shared" si="30"/>
        <v>0</v>
      </c>
      <c r="F237" s="280">
        <f t="shared" si="31"/>
        <v>0</v>
      </c>
      <c r="G237" s="404">
        <f t="shared" si="32"/>
        <v>0</v>
      </c>
      <c r="H237" s="281"/>
      <c r="I237" s="413"/>
      <c r="J237" s="274">
        <v>223</v>
      </c>
      <c r="K237" s="428">
        <f t="shared" si="38"/>
        <v>52078</v>
      </c>
      <c r="L237" s="286">
        <f t="shared" si="39"/>
        <v>0</v>
      </c>
      <c r="M237" s="286">
        <f t="shared" si="33"/>
        <v>0</v>
      </c>
      <c r="N237" s="285">
        <f t="shared" si="34"/>
        <v>0</v>
      </c>
      <c r="O237" s="427">
        <f t="shared" si="35"/>
        <v>0</v>
      </c>
      <c r="Q237" s="413"/>
      <c r="R237" s="274"/>
      <c r="S237" s="428"/>
      <c r="T237" s="286"/>
      <c r="U237" s="286"/>
      <c r="V237" s="285"/>
      <c r="W237" s="427"/>
    </row>
    <row r="238" spans="1:23" x14ac:dyDescent="0.15">
      <c r="A238" s="398"/>
      <c r="B238" s="272">
        <v>224</v>
      </c>
      <c r="C238" s="278">
        <f t="shared" si="36"/>
        <v>52109</v>
      </c>
      <c r="D238" s="280">
        <f t="shared" si="37"/>
        <v>0</v>
      </c>
      <c r="E238" s="280">
        <f t="shared" si="30"/>
        <v>0</v>
      </c>
      <c r="F238" s="280">
        <f t="shared" si="31"/>
        <v>0</v>
      </c>
      <c r="G238" s="404">
        <f t="shared" si="32"/>
        <v>0</v>
      </c>
      <c r="H238" s="281"/>
      <c r="I238" s="413"/>
      <c r="J238" s="274">
        <v>224</v>
      </c>
      <c r="K238" s="428">
        <f t="shared" si="38"/>
        <v>52109</v>
      </c>
      <c r="L238" s="286">
        <f t="shared" si="39"/>
        <v>0</v>
      </c>
      <c r="M238" s="286">
        <f t="shared" si="33"/>
        <v>0</v>
      </c>
      <c r="N238" s="285">
        <f t="shared" si="34"/>
        <v>0</v>
      </c>
      <c r="O238" s="427">
        <f t="shared" si="35"/>
        <v>0</v>
      </c>
      <c r="Q238" s="413"/>
      <c r="R238" s="274"/>
      <c r="S238" s="428"/>
      <c r="T238" s="286"/>
      <c r="U238" s="286"/>
      <c r="V238" s="285"/>
      <c r="W238" s="427"/>
    </row>
    <row r="239" spans="1:23" x14ac:dyDescent="0.15">
      <c r="A239" s="398"/>
      <c r="B239" s="272">
        <v>225</v>
      </c>
      <c r="C239" s="278">
        <f t="shared" si="36"/>
        <v>52139</v>
      </c>
      <c r="D239" s="280">
        <f t="shared" si="37"/>
        <v>0</v>
      </c>
      <c r="E239" s="280">
        <f t="shared" si="30"/>
        <v>0</v>
      </c>
      <c r="F239" s="280">
        <f t="shared" si="31"/>
        <v>0</v>
      </c>
      <c r="G239" s="404">
        <f t="shared" si="32"/>
        <v>0</v>
      </c>
      <c r="H239" s="281"/>
      <c r="I239" s="413"/>
      <c r="J239" s="274">
        <v>225</v>
      </c>
      <c r="K239" s="428">
        <f t="shared" si="38"/>
        <v>52139</v>
      </c>
      <c r="L239" s="286">
        <f t="shared" si="39"/>
        <v>0</v>
      </c>
      <c r="M239" s="286">
        <f t="shared" si="33"/>
        <v>0</v>
      </c>
      <c r="N239" s="285">
        <f t="shared" si="34"/>
        <v>0</v>
      </c>
      <c r="O239" s="427">
        <f t="shared" si="35"/>
        <v>0</v>
      </c>
      <c r="Q239" s="413"/>
      <c r="R239" s="274"/>
      <c r="S239" s="428"/>
      <c r="T239" s="286"/>
      <c r="U239" s="286"/>
      <c r="V239" s="285"/>
      <c r="W239" s="427"/>
    </row>
    <row r="240" spans="1:23" x14ac:dyDescent="0.15">
      <c r="A240" s="398"/>
      <c r="B240" s="272">
        <v>226</v>
      </c>
      <c r="C240" s="278">
        <f t="shared" si="36"/>
        <v>52170</v>
      </c>
      <c r="D240" s="280">
        <f t="shared" si="37"/>
        <v>0</v>
      </c>
      <c r="E240" s="280">
        <f t="shared" si="30"/>
        <v>0</v>
      </c>
      <c r="F240" s="280">
        <f t="shared" si="31"/>
        <v>0</v>
      </c>
      <c r="G240" s="404">
        <f t="shared" si="32"/>
        <v>0</v>
      </c>
      <c r="H240" s="281"/>
      <c r="I240" s="413"/>
      <c r="J240" s="274">
        <v>226</v>
      </c>
      <c r="K240" s="428">
        <f t="shared" si="38"/>
        <v>52170</v>
      </c>
      <c r="L240" s="286">
        <f t="shared" si="39"/>
        <v>0</v>
      </c>
      <c r="M240" s="286">
        <f t="shared" si="33"/>
        <v>0</v>
      </c>
      <c r="N240" s="285">
        <f t="shared" si="34"/>
        <v>0</v>
      </c>
      <c r="O240" s="427">
        <f t="shared" si="35"/>
        <v>0</v>
      </c>
      <c r="Q240" s="413"/>
      <c r="R240" s="274"/>
      <c r="S240" s="428"/>
      <c r="T240" s="286"/>
      <c r="U240" s="286"/>
      <c r="V240" s="285"/>
      <c r="W240" s="427"/>
    </row>
    <row r="241" spans="1:23" x14ac:dyDescent="0.15">
      <c r="A241" s="398"/>
      <c r="B241" s="272">
        <v>227</v>
      </c>
      <c r="C241" s="278">
        <f t="shared" si="36"/>
        <v>52200</v>
      </c>
      <c r="D241" s="280">
        <f t="shared" si="37"/>
        <v>0</v>
      </c>
      <c r="E241" s="280">
        <f t="shared" si="30"/>
        <v>0</v>
      </c>
      <c r="F241" s="280">
        <f t="shared" si="31"/>
        <v>0</v>
      </c>
      <c r="G241" s="404">
        <f t="shared" si="32"/>
        <v>0</v>
      </c>
      <c r="H241" s="281"/>
      <c r="I241" s="413"/>
      <c r="J241" s="274">
        <v>227</v>
      </c>
      <c r="K241" s="428">
        <f t="shared" si="38"/>
        <v>52200</v>
      </c>
      <c r="L241" s="286">
        <f t="shared" si="39"/>
        <v>0</v>
      </c>
      <c r="M241" s="286">
        <f t="shared" si="33"/>
        <v>0</v>
      </c>
      <c r="N241" s="285">
        <f t="shared" si="34"/>
        <v>0</v>
      </c>
      <c r="O241" s="427">
        <f t="shared" si="35"/>
        <v>0</v>
      </c>
      <c r="Q241" s="413"/>
      <c r="R241" s="274"/>
      <c r="S241" s="428"/>
      <c r="T241" s="286"/>
      <c r="U241" s="286"/>
      <c r="V241" s="285"/>
      <c r="W241" s="427"/>
    </row>
    <row r="242" spans="1:23" x14ac:dyDescent="0.15">
      <c r="A242" s="398"/>
      <c r="B242" s="272">
        <v>228</v>
      </c>
      <c r="C242" s="278">
        <f t="shared" si="36"/>
        <v>52231</v>
      </c>
      <c r="D242" s="280">
        <f t="shared" si="37"/>
        <v>0</v>
      </c>
      <c r="E242" s="280">
        <f t="shared" si="30"/>
        <v>0</v>
      </c>
      <c r="F242" s="280">
        <f t="shared" si="31"/>
        <v>0</v>
      </c>
      <c r="G242" s="404">
        <f t="shared" si="32"/>
        <v>0</v>
      </c>
      <c r="H242" s="281"/>
      <c r="I242" s="413"/>
      <c r="J242" s="274">
        <v>228</v>
      </c>
      <c r="K242" s="428">
        <f t="shared" si="38"/>
        <v>52231</v>
      </c>
      <c r="L242" s="286">
        <f t="shared" si="39"/>
        <v>0</v>
      </c>
      <c r="M242" s="286">
        <f t="shared" si="33"/>
        <v>0</v>
      </c>
      <c r="N242" s="285">
        <f t="shared" si="34"/>
        <v>0</v>
      </c>
      <c r="O242" s="427">
        <f t="shared" si="35"/>
        <v>0</v>
      </c>
      <c r="Q242" s="413"/>
      <c r="R242" s="274"/>
      <c r="S242" s="428"/>
      <c r="T242" s="286"/>
      <c r="U242" s="286"/>
      <c r="V242" s="285"/>
      <c r="W242" s="427"/>
    </row>
    <row r="243" spans="1:23" x14ac:dyDescent="0.15">
      <c r="A243" s="398"/>
      <c r="B243" s="272">
        <v>229</v>
      </c>
      <c r="C243" s="278">
        <f t="shared" si="36"/>
        <v>52262</v>
      </c>
      <c r="D243" s="280">
        <f t="shared" si="37"/>
        <v>0</v>
      </c>
      <c r="E243" s="280">
        <f t="shared" si="30"/>
        <v>0</v>
      </c>
      <c r="F243" s="280">
        <f t="shared" si="31"/>
        <v>0</v>
      </c>
      <c r="G243" s="404">
        <f t="shared" si="32"/>
        <v>0</v>
      </c>
      <c r="H243" s="281"/>
      <c r="I243" s="413"/>
      <c r="J243" s="274">
        <v>229</v>
      </c>
      <c r="K243" s="428">
        <f t="shared" si="38"/>
        <v>52262</v>
      </c>
      <c r="L243" s="286">
        <f t="shared" si="39"/>
        <v>0</v>
      </c>
      <c r="M243" s="286">
        <f t="shared" si="33"/>
        <v>0</v>
      </c>
      <c r="N243" s="285">
        <f t="shared" si="34"/>
        <v>0</v>
      </c>
      <c r="O243" s="427">
        <f t="shared" si="35"/>
        <v>0</v>
      </c>
      <c r="Q243" s="413"/>
      <c r="R243" s="274"/>
      <c r="S243" s="428"/>
      <c r="T243" s="286"/>
      <c r="U243" s="286"/>
      <c r="V243" s="285"/>
      <c r="W243" s="427"/>
    </row>
    <row r="244" spans="1:23" x14ac:dyDescent="0.15">
      <c r="A244" s="398"/>
      <c r="B244" s="272">
        <v>230</v>
      </c>
      <c r="C244" s="278">
        <f t="shared" si="36"/>
        <v>52290</v>
      </c>
      <c r="D244" s="280">
        <f t="shared" si="37"/>
        <v>0</v>
      </c>
      <c r="E244" s="280">
        <f t="shared" si="30"/>
        <v>0</v>
      </c>
      <c r="F244" s="280">
        <f t="shared" si="31"/>
        <v>0</v>
      </c>
      <c r="G244" s="404">
        <f t="shared" si="32"/>
        <v>0</v>
      </c>
      <c r="H244" s="281"/>
      <c r="I244" s="413"/>
      <c r="J244" s="274">
        <v>230</v>
      </c>
      <c r="K244" s="428">
        <f t="shared" si="38"/>
        <v>52290</v>
      </c>
      <c r="L244" s="286">
        <f t="shared" si="39"/>
        <v>0</v>
      </c>
      <c r="M244" s="286">
        <f t="shared" si="33"/>
        <v>0</v>
      </c>
      <c r="N244" s="285">
        <f t="shared" si="34"/>
        <v>0</v>
      </c>
      <c r="O244" s="427">
        <f t="shared" si="35"/>
        <v>0</v>
      </c>
      <c r="Q244" s="413"/>
      <c r="R244" s="274"/>
      <c r="S244" s="428"/>
      <c r="T244" s="286"/>
      <c r="U244" s="286"/>
      <c r="V244" s="285"/>
      <c r="W244" s="427"/>
    </row>
    <row r="245" spans="1:23" x14ac:dyDescent="0.15">
      <c r="A245" s="398"/>
      <c r="B245" s="272">
        <v>231</v>
      </c>
      <c r="C245" s="278">
        <f t="shared" si="36"/>
        <v>52321</v>
      </c>
      <c r="D245" s="280">
        <f t="shared" si="37"/>
        <v>0</v>
      </c>
      <c r="E245" s="280">
        <f t="shared" si="30"/>
        <v>0</v>
      </c>
      <c r="F245" s="280">
        <f t="shared" si="31"/>
        <v>0</v>
      </c>
      <c r="G245" s="404">
        <f t="shared" si="32"/>
        <v>0</v>
      </c>
      <c r="H245" s="281"/>
      <c r="I245" s="413"/>
      <c r="J245" s="274">
        <v>231</v>
      </c>
      <c r="K245" s="428">
        <f t="shared" si="38"/>
        <v>52321</v>
      </c>
      <c r="L245" s="286">
        <f t="shared" si="39"/>
        <v>0</v>
      </c>
      <c r="M245" s="286">
        <f t="shared" si="33"/>
        <v>0</v>
      </c>
      <c r="N245" s="285">
        <f t="shared" si="34"/>
        <v>0</v>
      </c>
      <c r="O245" s="427">
        <f t="shared" si="35"/>
        <v>0</v>
      </c>
      <c r="Q245" s="413"/>
      <c r="R245" s="274"/>
      <c r="S245" s="428"/>
      <c r="T245" s="286"/>
      <c r="U245" s="286"/>
      <c r="V245" s="285"/>
      <c r="W245" s="427"/>
    </row>
    <row r="246" spans="1:23" x14ac:dyDescent="0.15">
      <c r="A246" s="398"/>
      <c r="B246" s="272">
        <v>232</v>
      </c>
      <c r="C246" s="278">
        <f t="shared" si="36"/>
        <v>52351</v>
      </c>
      <c r="D246" s="280">
        <f t="shared" si="37"/>
        <v>0</v>
      </c>
      <c r="E246" s="280">
        <f t="shared" si="30"/>
        <v>0</v>
      </c>
      <c r="F246" s="280">
        <f t="shared" si="31"/>
        <v>0</v>
      </c>
      <c r="G246" s="404">
        <f t="shared" si="32"/>
        <v>0</v>
      </c>
      <c r="H246" s="281"/>
      <c r="I246" s="413"/>
      <c r="J246" s="274">
        <v>232</v>
      </c>
      <c r="K246" s="428">
        <f t="shared" si="38"/>
        <v>52351</v>
      </c>
      <c r="L246" s="286">
        <f t="shared" si="39"/>
        <v>0</v>
      </c>
      <c r="M246" s="286">
        <f t="shared" si="33"/>
        <v>0</v>
      </c>
      <c r="N246" s="285">
        <f t="shared" si="34"/>
        <v>0</v>
      </c>
      <c r="O246" s="427">
        <f t="shared" si="35"/>
        <v>0</v>
      </c>
      <c r="Q246" s="413"/>
      <c r="R246" s="274"/>
      <c r="S246" s="428"/>
      <c r="T246" s="286"/>
      <c r="U246" s="286"/>
      <c r="V246" s="285"/>
      <c r="W246" s="427"/>
    </row>
    <row r="247" spans="1:23" x14ac:dyDescent="0.15">
      <c r="A247" s="398"/>
      <c r="B247" s="272">
        <v>233</v>
      </c>
      <c r="C247" s="278">
        <f t="shared" si="36"/>
        <v>52382</v>
      </c>
      <c r="D247" s="280">
        <f t="shared" si="37"/>
        <v>0</v>
      </c>
      <c r="E247" s="280">
        <f t="shared" si="30"/>
        <v>0</v>
      </c>
      <c r="F247" s="280">
        <f t="shared" si="31"/>
        <v>0</v>
      </c>
      <c r="G247" s="404">
        <f t="shared" si="32"/>
        <v>0</v>
      </c>
      <c r="H247" s="281"/>
      <c r="I247" s="413"/>
      <c r="J247" s="274">
        <v>233</v>
      </c>
      <c r="K247" s="428">
        <f t="shared" si="38"/>
        <v>52382</v>
      </c>
      <c r="L247" s="286">
        <f t="shared" si="39"/>
        <v>0</v>
      </c>
      <c r="M247" s="286">
        <f t="shared" si="33"/>
        <v>0</v>
      </c>
      <c r="N247" s="285">
        <f t="shared" si="34"/>
        <v>0</v>
      </c>
      <c r="O247" s="427">
        <f t="shared" si="35"/>
        <v>0</v>
      </c>
      <c r="Q247" s="413"/>
      <c r="R247" s="274"/>
      <c r="S247" s="428"/>
      <c r="T247" s="286"/>
      <c r="U247" s="286"/>
      <c r="V247" s="285"/>
      <c r="W247" s="427"/>
    </row>
    <row r="248" spans="1:23" x14ac:dyDescent="0.15">
      <c r="A248" s="398"/>
      <c r="B248" s="272">
        <v>234</v>
      </c>
      <c r="C248" s="278">
        <f t="shared" si="36"/>
        <v>52412</v>
      </c>
      <c r="D248" s="280">
        <f t="shared" si="37"/>
        <v>0</v>
      </c>
      <c r="E248" s="280">
        <f t="shared" si="30"/>
        <v>0</v>
      </c>
      <c r="F248" s="280">
        <f t="shared" si="31"/>
        <v>0</v>
      </c>
      <c r="G248" s="404">
        <f t="shared" si="32"/>
        <v>0</v>
      </c>
      <c r="H248" s="281"/>
      <c r="I248" s="413"/>
      <c r="J248" s="274">
        <v>234</v>
      </c>
      <c r="K248" s="428">
        <f t="shared" si="38"/>
        <v>52412</v>
      </c>
      <c r="L248" s="286">
        <f t="shared" si="39"/>
        <v>0</v>
      </c>
      <c r="M248" s="286">
        <f t="shared" si="33"/>
        <v>0</v>
      </c>
      <c r="N248" s="285">
        <f t="shared" si="34"/>
        <v>0</v>
      </c>
      <c r="O248" s="427">
        <f t="shared" si="35"/>
        <v>0</v>
      </c>
      <c r="Q248" s="413"/>
      <c r="R248" s="274"/>
      <c r="S248" s="428"/>
      <c r="T248" s="286"/>
      <c r="U248" s="286"/>
      <c r="V248" s="285"/>
      <c r="W248" s="427"/>
    </row>
    <row r="249" spans="1:23" x14ac:dyDescent="0.15">
      <c r="A249" s="398"/>
      <c r="B249" s="272">
        <v>235</v>
      </c>
      <c r="C249" s="278">
        <f t="shared" si="36"/>
        <v>52443</v>
      </c>
      <c r="D249" s="280">
        <f t="shared" si="37"/>
        <v>0</v>
      </c>
      <c r="E249" s="280">
        <f t="shared" si="30"/>
        <v>0</v>
      </c>
      <c r="F249" s="280">
        <f t="shared" si="31"/>
        <v>0</v>
      </c>
      <c r="G249" s="404">
        <f t="shared" si="32"/>
        <v>0</v>
      </c>
      <c r="H249" s="281"/>
      <c r="I249" s="413"/>
      <c r="J249" s="274">
        <v>235</v>
      </c>
      <c r="K249" s="428">
        <f t="shared" si="38"/>
        <v>52443</v>
      </c>
      <c r="L249" s="286">
        <f t="shared" si="39"/>
        <v>0</v>
      </c>
      <c r="M249" s="286">
        <f t="shared" si="33"/>
        <v>0</v>
      </c>
      <c r="N249" s="285">
        <f t="shared" si="34"/>
        <v>0</v>
      </c>
      <c r="O249" s="427">
        <f t="shared" si="35"/>
        <v>0</v>
      </c>
      <c r="Q249" s="413"/>
      <c r="R249" s="274"/>
      <c r="S249" s="428"/>
      <c r="T249" s="286"/>
      <c r="U249" s="286"/>
      <c r="V249" s="285"/>
      <c r="W249" s="427"/>
    </row>
    <row r="250" spans="1:23" x14ac:dyDescent="0.15">
      <c r="A250" s="398"/>
      <c r="B250" s="272">
        <v>236</v>
      </c>
      <c r="C250" s="278">
        <f t="shared" si="36"/>
        <v>52474</v>
      </c>
      <c r="D250" s="280">
        <f t="shared" si="37"/>
        <v>0</v>
      </c>
      <c r="E250" s="280">
        <f t="shared" si="30"/>
        <v>0</v>
      </c>
      <c r="F250" s="280">
        <f t="shared" si="31"/>
        <v>0</v>
      </c>
      <c r="G250" s="404">
        <f t="shared" si="32"/>
        <v>0</v>
      </c>
      <c r="H250" s="281"/>
      <c r="I250" s="413"/>
      <c r="J250" s="274">
        <v>236</v>
      </c>
      <c r="K250" s="428">
        <f t="shared" si="38"/>
        <v>52474</v>
      </c>
      <c r="L250" s="286">
        <f t="shared" si="39"/>
        <v>0</v>
      </c>
      <c r="M250" s="286">
        <f t="shared" si="33"/>
        <v>0</v>
      </c>
      <c r="N250" s="285">
        <f t="shared" si="34"/>
        <v>0</v>
      </c>
      <c r="O250" s="427">
        <f t="shared" si="35"/>
        <v>0</v>
      </c>
      <c r="Q250" s="413"/>
      <c r="R250" s="274"/>
      <c r="S250" s="428"/>
      <c r="T250" s="286"/>
      <c r="U250" s="286"/>
      <c r="V250" s="285"/>
      <c r="W250" s="427"/>
    </row>
    <row r="251" spans="1:23" x14ac:dyDescent="0.15">
      <c r="A251" s="398"/>
      <c r="B251" s="272">
        <v>237</v>
      </c>
      <c r="C251" s="278">
        <f t="shared" si="36"/>
        <v>52504</v>
      </c>
      <c r="D251" s="280">
        <f t="shared" si="37"/>
        <v>0</v>
      </c>
      <c r="E251" s="280">
        <f t="shared" si="30"/>
        <v>0</v>
      </c>
      <c r="F251" s="280">
        <f t="shared" si="31"/>
        <v>0</v>
      </c>
      <c r="G251" s="404">
        <f t="shared" si="32"/>
        <v>0</v>
      </c>
      <c r="H251" s="281"/>
      <c r="I251" s="413"/>
      <c r="J251" s="274">
        <v>237</v>
      </c>
      <c r="K251" s="428">
        <f t="shared" si="38"/>
        <v>52504</v>
      </c>
      <c r="L251" s="286">
        <f t="shared" si="39"/>
        <v>0</v>
      </c>
      <c r="M251" s="286">
        <f t="shared" si="33"/>
        <v>0</v>
      </c>
      <c r="N251" s="285">
        <f t="shared" si="34"/>
        <v>0</v>
      </c>
      <c r="O251" s="427">
        <f t="shared" si="35"/>
        <v>0</v>
      </c>
      <c r="Q251" s="413"/>
      <c r="R251" s="274"/>
      <c r="S251" s="428"/>
      <c r="T251" s="286"/>
      <c r="U251" s="286"/>
      <c r="V251" s="285"/>
      <c r="W251" s="427"/>
    </row>
    <row r="252" spans="1:23" x14ac:dyDescent="0.15">
      <c r="A252" s="398"/>
      <c r="B252" s="272">
        <v>238</v>
      </c>
      <c r="C252" s="278">
        <f t="shared" si="36"/>
        <v>52535</v>
      </c>
      <c r="D252" s="280">
        <f t="shared" si="37"/>
        <v>0</v>
      </c>
      <c r="E252" s="280">
        <f t="shared" si="30"/>
        <v>0</v>
      </c>
      <c r="F252" s="280">
        <f t="shared" si="31"/>
        <v>0</v>
      </c>
      <c r="G252" s="404">
        <f t="shared" si="32"/>
        <v>0</v>
      </c>
      <c r="H252" s="281"/>
      <c r="I252" s="413"/>
      <c r="J252" s="274">
        <v>238</v>
      </c>
      <c r="K252" s="428">
        <f t="shared" si="38"/>
        <v>52535</v>
      </c>
      <c r="L252" s="286">
        <f t="shared" si="39"/>
        <v>0</v>
      </c>
      <c r="M252" s="286">
        <f t="shared" si="33"/>
        <v>0</v>
      </c>
      <c r="N252" s="285">
        <f t="shared" si="34"/>
        <v>0</v>
      </c>
      <c r="O252" s="427">
        <f t="shared" si="35"/>
        <v>0</v>
      </c>
      <c r="Q252" s="413"/>
      <c r="R252" s="274"/>
      <c r="S252" s="428"/>
      <c r="T252" s="286"/>
      <c r="U252" s="286"/>
      <c r="V252" s="285"/>
      <c r="W252" s="427"/>
    </row>
    <row r="253" spans="1:23" x14ac:dyDescent="0.15">
      <c r="A253" s="398"/>
      <c r="B253" s="272">
        <v>239</v>
      </c>
      <c r="C253" s="278">
        <f t="shared" si="36"/>
        <v>52565</v>
      </c>
      <c r="D253" s="280">
        <f t="shared" si="37"/>
        <v>0</v>
      </c>
      <c r="E253" s="280">
        <f t="shared" si="30"/>
        <v>0</v>
      </c>
      <c r="F253" s="280">
        <f t="shared" si="31"/>
        <v>0</v>
      </c>
      <c r="G253" s="404">
        <f t="shared" si="32"/>
        <v>0</v>
      </c>
      <c r="H253" s="281"/>
      <c r="I253" s="413"/>
      <c r="J253" s="274">
        <v>239</v>
      </c>
      <c r="K253" s="428">
        <f t="shared" si="38"/>
        <v>52565</v>
      </c>
      <c r="L253" s="286">
        <f t="shared" si="39"/>
        <v>0</v>
      </c>
      <c r="M253" s="286">
        <f t="shared" si="33"/>
        <v>0</v>
      </c>
      <c r="N253" s="285">
        <f t="shared" si="34"/>
        <v>0</v>
      </c>
      <c r="O253" s="427">
        <f t="shared" si="35"/>
        <v>0</v>
      </c>
      <c r="Q253" s="413"/>
      <c r="R253" s="274"/>
      <c r="S253" s="428"/>
      <c r="T253" s="286"/>
      <c r="U253" s="286"/>
      <c r="V253" s="285"/>
      <c r="W253" s="427"/>
    </row>
    <row r="254" spans="1:23" x14ac:dyDescent="0.15">
      <c r="A254" s="398"/>
      <c r="B254" s="272">
        <v>240</v>
      </c>
      <c r="C254" s="278">
        <f t="shared" si="36"/>
        <v>52596</v>
      </c>
      <c r="D254" s="280">
        <f t="shared" si="37"/>
        <v>0</v>
      </c>
      <c r="E254" s="280">
        <f t="shared" si="30"/>
        <v>0</v>
      </c>
      <c r="F254" s="280">
        <f t="shared" si="31"/>
        <v>0</v>
      </c>
      <c r="G254" s="404">
        <f t="shared" si="32"/>
        <v>0</v>
      </c>
      <c r="H254" s="281"/>
      <c r="I254" s="413"/>
      <c r="J254" s="274">
        <v>240</v>
      </c>
      <c r="K254" s="428">
        <f t="shared" si="38"/>
        <v>52596</v>
      </c>
      <c r="L254" s="286">
        <f t="shared" si="39"/>
        <v>0</v>
      </c>
      <c r="M254" s="286">
        <f t="shared" si="33"/>
        <v>0</v>
      </c>
      <c r="N254" s="285">
        <f t="shared" si="34"/>
        <v>0</v>
      </c>
      <c r="O254" s="427">
        <f t="shared" si="35"/>
        <v>0</v>
      </c>
      <c r="Q254" s="413"/>
      <c r="R254" s="274"/>
      <c r="S254" s="428"/>
      <c r="T254" s="286"/>
      <c r="U254" s="286"/>
      <c r="V254" s="285"/>
      <c r="W254" s="427"/>
    </row>
    <row r="255" spans="1:23" x14ac:dyDescent="0.15">
      <c r="A255" s="398"/>
      <c r="B255" s="272">
        <v>241</v>
      </c>
      <c r="C255" s="278">
        <f t="shared" si="36"/>
        <v>52627</v>
      </c>
      <c r="D255" s="280">
        <f t="shared" si="37"/>
        <v>0</v>
      </c>
      <c r="E255" s="280">
        <f t="shared" si="30"/>
        <v>0</v>
      </c>
      <c r="F255" s="280">
        <f t="shared" si="31"/>
        <v>0</v>
      </c>
      <c r="G255" s="404">
        <f t="shared" si="32"/>
        <v>0</v>
      </c>
      <c r="H255" s="281"/>
      <c r="I255" s="413"/>
      <c r="J255" s="274">
        <v>241</v>
      </c>
      <c r="K255" s="428">
        <f t="shared" si="38"/>
        <v>52627</v>
      </c>
      <c r="L255" s="286">
        <f t="shared" si="39"/>
        <v>0</v>
      </c>
      <c r="M255" s="286">
        <f t="shared" si="33"/>
        <v>0</v>
      </c>
      <c r="N255" s="285">
        <f t="shared" si="34"/>
        <v>0</v>
      </c>
      <c r="O255" s="427">
        <f t="shared" si="35"/>
        <v>0</v>
      </c>
      <c r="Q255" s="413"/>
      <c r="R255" s="274"/>
      <c r="S255" s="428"/>
      <c r="T255" s="286"/>
      <c r="U255" s="286"/>
      <c r="V255" s="285"/>
      <c r="W255" s="427"/>
    </row>
    <row r="256" spans="1:23" x14ac:dyDescent="0.15">
      <c r="A256" s="398"/>
      <c r="B256" s="272">
        <v>242</v>
      </c>
      <c r="C256" s="278">
        <f t="shared" si="36"/>
        <v>52656</v>
      </c>
      <c r="D256" s="280">
        <f t="shared" si="37"/>
        <v>0</v>
      </c>
      <c r="E256" s="280">
        <f t="shared" si="30"/>
        <v>0</v>
      </c>
      <c r="F256" s="280">
        <f t="shared" si="31"/>
        <v>0</v>
      </c>
      <c r="G256" s="404">
        <f t="shared" si="32"/>
        <v>0</v>
      </c>
      <c r="H256" s="281"/>
      <c r="I256" s="413"/>
      <c r="J256" s="274">
        <v>242</v>
      </c>
      <c r="K256" s="428">
        <f t="shared" si="38"/>
        <v>52656</v>
      </c>
      <c r="L256" s="286">
        <f t="shared" si="39"/>
        <v>0</v>
      </c>
      <c r="M256" s="286">
        <f t="shared" si="33"/>
        <v>0</v>
      </c>
      <c r="N256" s="285">
        <f t="shared" si="34"/>
        <v>0</v>
      </c>
      <c r="O256" s="427">
        <f t="shared" si="35"/>
        <v>0</v>
      </c>
      <c r="Q256" s="413"/>
      <c r="R256" s="274"/>
      <c r="S256" s="428"/>
      <c r="T256" s="286"/>
      <c r="U256" s="286"/>
      <c r="V256" s="285"/>
      <c r="W256" s="427"/>
    </row>
    <row r="257" spans="1:23" x14ac:dyDescent="0.15">
      <c r="A257" s="398"/>
      <c r="B257" s="272">
        <v>243</v>
      </c>
      <c r="C257" s="278">
        <f t="shared" si="36"/>
        <v>52687</v>
      </c>
      <c r="D257" s="280">
        <f t="shared" si="37"/>
        <v>0</v>
      </c>
      <c r="E257" s="280">
        <f t="shared" si="30"/>
        <v>0</v>
      </c>
      <c r="F257" s="280">
        <f t="shared" si="31"/>
        <v>0</v>
      </c>
      <c r="G257" s="404">
        <f t="shared" si="32"/>
        <v>0</v>
      </c>
      <c r="H257" s="281"/>
      <c r="I257" s="413"/>
      <c r="J257" s="274">
        <v>243</v>
      </c>
      <c r="K257" s="428">
        <f t="shared" si="38"/>
        <v>52687</v>
      </c>
      <c r="L257" s="286">
        <f t="shared" si="39"/>
        <v>0</v>
      </c>
      <c r="M257" s="286">
        <f t="shared" si="33"/>
        <v>0</v>
      </c>
      <c r="N257" s="285">
        <f t="shared" si="34"/>
        <v>0</v>
      </c>
      <c r="O257" s="427">
        <f t="shared" si="35"/>
        <v>0</v>
      </c>
      <c r="Q257" s="413"/>
      <c r="R257" s="274"/>
      <c r="S257" s="428"/>
      <c r="T257" s="286"/>
      <c r="U257" s="286"/>
      <c r="V257" s="285"/>
      <c r="W257" s="427"/>
    </row>
    <row r="258" spans="1:23" x14ac:dyDescent="0.15">
      <c r="A258" s="398"/>
      <c r="B258" s="272">
        <v>244</v>
      </c>
      <c r="C258" s="278">
        <f t="shared" si="36"/>
        <v>52717</v>
      </c>
      <c r="D258" s="280">
        <f t="shared" si="37"/>
        <v>0</v>
      </c>
      <c r="E258" s="280">
        <f t="shared" si="30"/>
        <v>0</v>
      </c>
      <c r="F258" s="280">
        <f t="shared" si="31"/>
        <v>0</v>
      </c>
      <c r="G258" s="404">
        <f t="shared" si="32"/>
        <v>0</v>
      </c>
      <c r="H258" s="281"/>
      <c r="I258" s="413"/>
      <c r="J258" s="274">
        <v>244</v>
      </c>
      <c r="K258" s="428">
        <f t="shared" si="38"/>
        <v>52717</v>
      </c>
      <c r="L258" s="286">
        <f t="shared" si="39"/>
        <v>0</v>
      </c>
      <c r="M258" s="286">
        <f t="shared" si="33"/>
        <v>0</v>
      </c>
      <c r="N258" s="285">
        <f t="shared" si="34"/>
        <v>0</v>
      </c>
      <c r="O258" s="427">
        <f t="shared" si="35"/>
        <v>0</v>
      </c>
      <c r="Q258" s="413"/>
      <c r="R258" s="274"/>
      <c r="S258" s="428"/>
      <c r="T258" s="286"/>
      <c r="U258" s="286"/>
      <c r="V258" s="285"/>
      <c r="W258" s="427"/>
    </row>
    <row r="259" spans="1:23" x14ac:dyDescent="0.15">
      <c r="A259" s="398"/>
      <c r="B259" s="272">
        <v>245</v>
      </c>
      <c r="C259" s="278">
        <f t="shared" si="36"/>
        <v>52748</v>
      </c>
      <c r="D259" s="280">
        <f t="shared" si="37"/>
        <v>0</v>
      </c>
      <c r="E259" s="280">
        <f t="shared" si="30"/>
        <v>0</v>
      </c>
      <c r="F259" s="280">
        <f t="shared" si="31"/>
        <v>0</v>
      </c>
      <c r="G259" s="404">
        <f t="shared" si="32"/>
        <v>0</v>
      </c>
      <c r="H259" s="281"/>
      <c r="I259" s="413"/>
      <c r="J259" s="274">
        <v>245</v>
      </c>
      <c r="K259" s="428">
        <f t="shared" si="38"/>
        <v>52748</v>
      </c>
      <c r="L259" s="286">
        <f t="shared" si="39"/>
        <v>0</v>
      </c>
      <c r="M259" s="286">
        <f t="shared" si="33"/>
        <v>0</v>
      </c>
      <c r="N259" s="285">
        <f t="shared" si="34"/>
        <v>0</v>
      </c>
      <c r="O259" s="427">
        <f t="shared" si="35"/>
        <v>0</v>
      </c>
      <c r="Q259" s="413"/>
      <c r="R259" s="274"/>
      <c r="S259" s="428"/>
      <c r="T259" s="286"/>
      <c r="U259" s="286"/>
      <c r="V259" s="285"/>
      <c r="W259" s="427"/>
    </row>
    <row r="260" spans="1:23" x14ac:dyDescent="0.15">
      <c r="A260" s="398"/>
      <c r="B260" s="272">
        <v>246</v>
      </c>
      <c r="C260" s="278">
        <f t="shared" si="36"/>
        <v>52778</v>
      </c>
      <c r="D260" s="280">
        <f t="shared" si="37"/>
        <v>0</v>
      </c>
      <c r="E260" s="280">
        <f t="shared" si="30"/>
        <v>0</v>
      </c>
      <c r="F260" s="280">
        <f t="shared" si="31"/>
        <v>0</v>
      </c>
      <c r="G260" s="404">
        <f t="shared" si="32"/>
        <v>0</v>
      </c>
      <c r="H260" s="281"/>
      <c r="I260" s="413"/>
      <c r="J260" s="274">
        <v>246</v>
      </c>
      <c r="K260" s="428">
        <f t="shared" si="38"/>
        <v>52778</v>
      </c>
      <c r="L260" s="286">
        <f t="shared" si="39"/>
        <v>0</v>
      </c>
      <c r="M260" s="286">
        <f t="shared" si="33"/>
        <v>0</v>
      </c>
      <c r="N260" s="285">
        <f t="shared" si="34"/>
        <v>0</v>
      </c>
      <c r="O260" s="427">
        <f t="shared" si="35"/>
        <v>0</v>
      </c>
      <c r="Q260" s="413"/>
      <c r="R260" s="274"/>
      <c r="S260" s="428"/>
      <c r="T260" s="286"/>
      <c r="U260" s="286"/>
      <c r="V260" s="285"/>
      <c r="W260" s="427"/>
    </row>
    <row r="261" spans="1:23" x14ac:dyDescent="0.15">
      <c r="A261" s="398"/>
      <c r="B261" s="272">
        <v>247</v>
      </c>
      <c r="C261" s="278">
        <f t="shared" si="36"/>
        <v>52809</v>
      </c>
      <c r="D261" s="280">
        <f t="shared" si="37"/>
        <v>0</v>
      </c>
      <c r="E261" s="280">
        <f t="shared" si="30"/>
        <v>0</v>
      </c>
      <c r="F261" s="280">
        <f t="shared" si="31"/>
        <v>0</v>
      </c>
      <c r="G261" s="404">
        <f t="shared" si="32"/>
        <v>0</v>
      </c>
      <c r="H261" s="281"/>
      <c r="I261" s="413"/>
      <c r="J261" s="274">
        <v>247</v>
      </c>
      <c r="K261" s="428">
        <f t="shared" si="38"/>
        <v>52809</v>
      </c>
      <c r="L261" s="286">
        <f t="shared" si="39"/>
        <v>0</v>
      </c>
      <c r="M261" s="286">
        <f t="shared" si="33"/>
        <v>0</v>
      </c>
      <c r="N261" s="285">
        <f t="shared" si="34"/>
        <v>0</v>
      </c>
      <c r="O261" s="427">
        <f t="shared" si="35"/>
        <v>0</v>
      </c>
      <c r="Q261" s="413"/>
      <c r="R261" s="274"/>
      <c r="S261" s="428"/>
      <c r="T261" s="286"/>
      <c r="U261" s="286"/>
      <c r="V261" s="285"/>
      <c r="W261" s="427"/>
    </row>
    <row r="262" spans="1:23" x14ac:dyDescent="0.15">
      <c r="A262" s="398"/>
      <c r="B262" s="272">
        <v>248</v>
      </c>
      <c r="C262" s="278">
        <f t="shared" si="36"/>
        <v>52840</v>
      </c>
      <c r="D262" s="280">
        <f t="shared" si="37"/>
        <v>0</v>
      </c>
      <c r="E262" s="280">
        <f t="shared" si="30"/>
        <v>0</v>
      </c>
      <c r="F262" s="280">
        <f t="shared" si="31"/>
        <v>0</v>
      </c>
      <c r="G262" s="404">
        <f t="shared" si="32"/>
        <v>0</v>
      </c>
      <c r="H262" s="281"/>
      <c r="I262" s="413"/>
      <c r="J262" s="274">
        <v>248</v>
      </c>
      <c r="K262" s="428">
        <f t="shared" si="38"/>
        <v>52840</v>
      </c>
      <c r="L262" s="286">
        <f t="shared" si="39"/>
        <v>0</v>
      </c>
      <c r="M262" s="286">
        <f t="shared" si="33"/>
        <v>0</v>
      </c>
      <c r="N262" s="285">
        <f t="shared" si="34"/>
        <v>0</v>
      </c>
      <c r="O262" s="427">
        <f t="shared" si="35"/>
        <v>0</v>
      </c>
      <c r="Q262" s="413"/>
      <c r="R262" s="274"/>
      <c r="S262" s="428"/>
      <c r="T262" s="286"/>
      <c r="U262" s="286"/>
      <c r="V262" s="285"/>
      <c r="W262" s="427"/>
    </row>
    <row r="263" spans="1:23" x14ac:dyDescent="0.15">
      <c r="A263" s="398"/>
      <c r="B263" s="272">
        <v>249</v>
      </c>
      <c r="C263" s="278">
        <f t="shared" si="36"/>
        <v>52870</v>
      </c>
      <c r="D263" s="280">
        <f t="shared" si="37"/>
        <v>0</v>
      </c>
      <c r="E263" s="280">
        <f t="shared" si="30"/>
        <v>0</v>
      </c>
      <c r="F263" s="280">
        <f t="shared" si="31"/>
        <v>0</v>
      </c>
      <c r="G263" s="404">
        <f t="shared" si="32"/>
        <v>0</v>
      </c>
      <c r="H263" s="281"/>
      <c r="I263" s="413"/>
      <c r="J263" s="274">
        <v>249</v>
      </c>
      <c r="K263" s="428">
        <f t="shared" si="38"/>
        <v>52870</v>
      </c>
      <c r="L263" s="286">
        <f t="shared" si="39"/>
        <v>0</v>
      </c>
      <c r="M263" s="286">
        <f t="shared" si="33"/>
        <v>0</v>
      </c>
      <c r="N263" s="285">
        <f t="shared" si="34"/>
        <v>0</v>
      </c>
      <c r="O263" s="427">
        <f t="shared" si="35"/>
        <v>0</v>
      </c>
      <c r="Q263" s="413"/>
      <c r="R263" s="274"/>
      <c r="S263" s="428"/>
      <c r="T263" s="286"/>
      <c r="U263" s="286"/>
      <c r="V263" s="285"/>
      <c r="W263" s="427"/>
    </row>
    <row r="264" spans="1:23" x14ac:dyDescent="0.15">
      <c r="A264" s="398"/>
      <c r="B264" s="272">
        <v>250</v>
      </c>
      <c r="C264" s="278">
        <f t="shared" si="36"/>
        <v>52901</v>
      </c>
      <c r="D264" s="280">
        <f t="shared" si="37"/>
        <v>0</v>
      </c>
      <c r="E264" s="280">
        <f t="shared" si="30"/>
        <v>0</v>
      </c>
      <c r="F264" s="280">
        <f t="shared" si="31"/>
        <v>0</v>
      </c>
      <c r="G264" s="404">
        <f t="shared" si="32"/>
        <v>0</v>
      </c>
      <c r="H264" s="281"/>
      <c r="I264" s="413"/>
      <c r="J264" s="274">
        <v>250</v>
      </c>
      <c r="K264" s="428">
        <f t="shared" si="38"/>
        <v>52901</v>
      </c>
      <c r="L264" s="286">
        <f t="shared" si="39"/>
        <v>0</v>
      </c>
      <c r="M264" s="286">
        <f t="shared" si="33"/>
        <v>0</v>
      </c>
      <c r="N264" s="285">
        <f t="shared" si="34"/>
        <v>0</v>
      </c>
      <c r="O264" s="427">
        <f t="shared" si="35"/>
        <v>0</v>
      </c>
      <c r="Q264" s="413"/>
      <c r="R264" s="274"/>
      <c r="S264" s="428"/>
      <c r="T264" s="286"/>
      <c r="U264" s="286"/>
      <c r="V264" s="285"/>
      <c r="W264" s="427"/>
    </row>
    <row r="265" spans="1:23" x14ac:dyDescent="0.15">
      <c r="A265" s="398"/>
      <c r="B265" s="272">
        <v>251</v>
      </c>
      <c r="C265" s="278">
        <f t="shared" si="36"/>
        <v>52931</v>
      </c>
      <c r="D265" s="280">
        <f t="shared" si="37"/>
        <v>0</v>
      </c>
      <c r="E265" s="280">
        <f t="shared" si="30"/>
        <v>0</v>
      </c>
      <c r="F265" s="280">
        <f t="shared" si="31"/>
        <v>0</v>
      </c>
      <c r="G265" s="404">
        <f t="shared" si="32"/>
        <v>0</v>
      </c>
      <c r="H265" s="281"/>
      <c r="I265" s="413"/>
      <c r="J265" s="274">
        <v>251</v>
      </c>
      <c r="K265" s="428">
        <f t="shared" si="38"/>
        <v>52931</v>
      </c>
      <c r="L265" s="286">
        <f t="shared" si="39"/>
        <v>0</v>
      </c>
      <c r="M265" s="286">
        <f t="shared" si="33"/>
        <v>0</v>
      </c>
      <c r="N265" s="285">
        <f t="shared" si="34"/>
        <v>0</v>
      </c>
      <c r="O265" s="427">
        <f t="shared" si="35"/>
        <v>0</v>
      </c>
      <c r="Q265" s="413"/>
      <c r="R265" s="274"/>
      <c r="S265" s="428"/>
      <c r="T265" s="286"/>
      <c r="U265" s="286"/>
      <c r="V265" s="285"/>
      <c r="W265" s="427"/>
    </row>
    <row r="266" spans="1:23" x14ac:dyDescent="0.15">
      <c r="A266" s="398"/>
      <c r="B266" s="272">
        <v>252</v>
      </c>
      <c r="C266" s="278">
        <f t="shared" si="36"/>
        <v>52962</v>
      </c>
      <c r="D266" s="280">
        <f t="shared" si="37"/>
        <v>0</v>
      </c>
      <c r="E266" s="280">
        <f t="shared" si="30"/>
        <v>0</v>
      </c>
      <c r="F266" s="280">
        <f t="shared" si="31"/>
        <v>0</v>
      </c>
      <c r="G266" s="404">
        <f t="shared" si="32"/>
        <v>0</v>
      </c>
      <c r="H266" s="281"/>
      <c r="I266" s="413"/>
      <c r="J266" s="274">
        <v>252</v>
      </c>
      <c r="K266" s="428">
        <f t="shared" si="38"/>
        <v>52962</v>
      </c>
      <c r="L266" s="286">
        <f t="shared" si="39"/>
        <v>0</v>
      </c>
      <c r="M266" s="286">
        <f t="shared" si="33"/>
        <v>0</v>
      </c>
      <c r="N266" s="285">
        <f t="shared" si="34"/>
        <v>0</v>
      </c>
      <c r="O266" s="427">
        <f t="shared" si="35"/>
        <v>0</v>
      </c>
      <c r="Q266" s="413"/>
      <c r="R266" s="274"/>
      <c r="S266" s="428"/>
      <c r="T266" s="286"/>
      <c r="U266" s="286"/>
      <c r="V266" s="285"/>
      <c r="W266" s="427"/>
    </row>
    <row r="267" spans="1:23" x14ac:dyDescent="0.15">
      <c r="A267" s="398"/>
      <c r="B267" s="272">
        <v>253</v>
      </c>
      <c r="C267" s="278">
        <f t="shared" si="36"/>
        <v>52993</v>
      </c>
      <c r="D267" s="280">
        <f t="shared" si="37"/>
        <v>0</v>
      </c>
      <c r="E267" s="280">
        <f t="shared" si="30"/>
        <v>0</v>
      </c>
      <c r="F267" s="280">
        <f t="shared" si="31"/>
        <v>0</v>
      </c>
      <c r="G267" s="404">
        <f t="shared" si="32"/>
        <v>0</v>
      </c>
      <c r="H267" s="281"/>
      <c r="I267" s="413"/>
      <c r="J267" s="274">
        <v>253</v>
      </c>
      <c r="K267" s="428">
        <f t="shared" si="38"/>
        <v>52993</v>
      </c>
      <c r="L267" s="286">
        <f t="shared" si="39"/>
        <v>0</v>
      </c>
      <c r="M267" s="286">
        <f t="shared" si="33"/>
        <v>0</v>
      </c>
      <c r="N267" s="285">
        <f t="shared" si="34"/>
        <v>0</v>
      </c>
      <c r="O267" s="427">
        <f t="shared" si="35"/>
        <v>0</v>
      </c>
      <c r="Q267" s="413"/>
      <c r="R267" s="274"/>
      <c r="S267" s="428"/>
      <c r="T267" s="286"/>
      <c r="U267" s="286"/>
      <c r="V267" s="285"/>
      <c r="W267" s="427"/>
    </row>
    <row r="268" spans="1:23" x14ac:dyDescent="0.15">
      <c r="A268" s="398"/>
      <c r="B268" s="272">
        <v>254</v>
      </c>
      <c r="C268" s="278">
        <f t="shared" si="36"/>
        <v>53021</v>
      </c>
      <c r="D268" s="280">
        <f t="shared" si="37"/>
        <v>0</v>
      </c>
      <c r="E268" s="280">
        <f t="shared" si="30"/>
        <v>0</v>
      </c>
      <c r="F268" s="280">
        <f t="shared" si="31"/>
        <v>0</v>
      </c>
      <c r="G268" s="404">
        <f t="shared" si="32"/>
        <v>0</v>
      </c>
      <c r="H268" s="281"/>
      <c r="I268" s="413"/>
      <c r="J268" s="274">
        <v>254</v>
      </c>
      <c r="K268" s="428">
        <f t="shared" si="38"/>
        <v>53021</v>
      </c>
      <c r="L268" s="286">
        <f t="shared" si="39"/>
        <v>0</v>
      </c>
      <c r="M268" s="286">
        <f t="shared" si="33"/>
        <v>0</v>
      </c>
      <c r="N268" s="285">
        <f t="shared" si="34"/>
        <v>0</v>
      </c>
      <c r="O268" s="427">
        <f t="shared" si="35"/>
        <v>0</v>
      </c>
      <c r="Q268" s="413"/>
      <c r="R268" s="274"/>
      <c r="S268" s="428"/>
      <c r="T268" s="286"/>
      <c r="U268" s="286"/>
      <c r="V268" s="285"/>
      <c r="W268" s="427"/>
    </row>
    <row r="269" spans="1:23" x14ac:dyDescent="0.15">
      <c r="A269" s="398"/>
      <c r="B269" s="272">
        <v>255</v>
      </c>
      <c r="C269" s="278">
        <f t="shared" si="36"/>
        <v>53052</v>
      </c>
      <c r="D269" s="280">
        <f t="shared" si="37"/>
        <v>0</v>
      </c>
      <c r="E269" s="280">
        <f t="shared" si="30"/>
        <v>0</v>
      </c>
      <c r="F269" s="280">
        <f t="shared" si="31"/>
        <v>0</v>
      </c>
      <c r="G269" s="404">
        <f t="shared" si="32"/>
        <v>0</v>
      </c>
      <c r="H269" s="281"/>
      <c r="I269" s="413"/>
      <c r="J269" s="274">
        <v>255</v>
      </c>
      <c r="K269" s="428">
        <f t="shared" si="38"/>
        <v>53052</v>
      </c>
      <c r="L269" s="286">
        <f t="shared" si="39"/>
        <v>0</v>
      </c>
      <c r="M269" s="286">
        <f t="shared" si="33"/>
        <v>0</v>
      </c>
      <c r="N269" s="285">
        <f t="shared" si="34"/>
        <v>0</v>
      </c>
      <c r="O269" s="427">
        <f t="shared" si="35"/>
        <v>0</v>
      </c>
      <c r="Q269" s="413"/>
      <c r="R269" s="274"/>
      <c r="S269" s="428"/>
      <c r="T269" s="286"/>
      <c r="U269" s="286"/>
      <c r="V269" s="285"/>
      <c r="W269" s="427"/>
    </row>
    <row r="270" spans="1:23" x14ac:dyDescent="0.15">
      <c r="A270" s="398"/>
      <c r="B270" s="272">
        <v>256</v>
      </c>
      <c r="C270" s="278">
        <f t="shared" si="36"/>
        <v>53082</v>
      </c>
      <c r="D270" s="280">
        <f t="shared" si="37"/>
        <v>0</v>
      </c>
      <c r="E270" s="280">
        <f t="shared" si="30"/>
        <v>0</v>
      </c>
      <c r="F270" s="280">
        <f t="shared" si="31"/>
        <v>0</v>
      </c>
      <c r="G270" s="404">
        <f t="shared" si="32"/>
        <v>0</v>
      </c>
      <c r="H270" s="281"/>
      <c r="I270" s="413"/>
      <c r="J270" s="274">
        <v>256</v>
      </c>
      <c r="K270" s="428">
        <f t="shared" si="38"/>
        <v>53082</v>
      </c>
      <c r="L270" s="286">
        <f t="shared" si="39"/>
        <v>0</v>
      </c>
      <c r="M270" s="286">
        <f t="shared" si="33"/>
        <v>0</v>
      </c>
      <c r="N270" s="285">
        <f t="shared" si="34"/>
        <v>0</v>
      </c>
      <c r="O270" s="427">
        <f t="shared" si="35"/>
        <v>0</v>
      </c>
      <c r="Q270" s="413"/>
      <c r="R270" s="274"/>
      <c r="S270" s="428"/>
      <c r="T270" s="286"/>
      <c r="U270" s="286"/>
      <c r="V270" s="285"/>
      <c r="W270" s="427"/>
    </row>
    <row r="271" spans="1:23" x14ac:dyDescent="0.15">
      <c r="A271" s="398"/>
      <c r="B271" s="272">
        <v>257</v>
      </c>
      <c r="C271" s="278">
        <f t="shared" si="36"/>
        <v>53113</v>
      </c>
      <c r="D271" s="280">
        <f t="shared" si="37"/>
        <v>0</v>
      </c>
      <c r="E271" s="280">
        <f t="shared" si="30"/>
        <v>0</v>
      </c>
      <c r="F271" s="280">
        <f t="shared" si="31"/>
        <v>0</v>
      </c>
      <c r="G271" s="404">
        <f t="shared" si="32"/>
        <v>0</v>
      </c>
      <c r="H271" s="281"/>
      <c r="I271" s="413"/>
      <c r="J271" s="274">
        <v>257</v>
      </c>
      <c r="K271" s="428">
        <f t="shared" si="38"/>
        <v>53113</v>
      </c>
      <c r="L271" s="286">
        <f t="shared" si="39"/>
        <v>0</v>
      </c>
      <c r="M271" s="286">
        <f t="shared" si="33"/>
        <v>0</v>
      </c>
      <c r="N271" s="285">
        <f t="shared" si="34"/>
        <v>0</v>
      </c>
      <c r="O271" s="427">
        <f t="shared" si="35"/>
        <v>0</v>
      </c>
      <c r="Q271" s="413"/>
      <c r="R271" s="274"/>
      <c r="S271" s="428"/>
      <c r="T271" s="286"/>
      <c r="U271" s="286"/>
      <c r="V271" s="285"/>
      <c r="W271" s="427"/>
    </row>
    <row r="272" spans="1:23" x14ac:dyDescent="0.15">
      <c r="A272" s="398"/>
      <c r="B272" s="272">
        <v>258</v>
      </c>
      <c r="C272" s="278">
        <f t="shared" si="36"/>
        <v>53143</v>
      </c>
      <c r="D272" s="280">
        <f t="shared" si="37"/>
        <v>0</v>
      </c>
      <c r="E272" s="280">
        <f t="shared" ref="E272:E335" si="40">(D272*$F$9)/12</f>
        <v>0</v>
      </c>
      <c r="F272" s="280">
        <f t="shared" ref="F272:F335" si="41">IF($F$10=0,0,IF(B272&gt;$F$6,0,-$F$11-E272))</f>
        <v>0</v>
      </c>
      <c r="G272" s="404">
        <f t="shared" ref="G272:G335" si="42">IF(B272&gt;$F$6,0,D272-F272)</f>
        <v>0</v>
      </c>
      <c r="H272" s="281"/>
      <c r="I272" s="413"/>
      <c r="J272" s="274">
        <v>258</v>
      </c>
      <c r="K272" s="428">
        <f t="shared" si="38"/>
        <v>53143</v>
      </c>
      <c r="L272" s="286">
        <f t="shared" si="39"/>
        <v>0</v>
      </c>
      <c r="M272" s="286">
        <f t="shared" ref="M272:M335" si="43">IF(K272&gt;$N$7,0,(L272*$N$9)/12)</f>
        <v>0</v>
      </c>
      <c r="N272" s="285">
        <f t="shared" ref="N272:N335" si="44">IF(K272&gt;$N$7,0,-$N$11-M272)</f>
        <v>0</v>
      </c>
      <c r="O272" s="427">
        <f t="shared" ref="O272:O335" si="45">IF(J272&gt;$N$6,0,L272-N272)</f>
        <v>0</v>
      </c>
      <c r="Q272" s="413"/>
      <c r="R272" s="274"/>
      <c r="S272" s="428"/>
      <c r="T272" s="286"/>
      <c r="U272" s="286"/>
      <c r="V272" s="285"/>
      <c r="W272" s="427"/>
    </row>
    <row r="273" spans="1:23" x14ac:dyDescent="0.15">
      <c r="A273" s="398"/>
      <c r="B273" s="272">
        <v>259</v>
      </c>
      <c r="C273" s="278">
        <f t="shared" ref="C273:C336" si="46">EOMONTH(C272,1)</f>
        <v>53174</v>
      </c>
      <c r="D273" s="280">
        <f t="shared" ref="D273:D336" si="47">IF(B273&gt;$F$6,0,G272)</f>
        <v>0</v>
      </c>
      <c r="E273" s="280">
        <f t="shared" si="40"/>
        <v>0</v>
      </c>
      <c r="F273" s="280">
        <f t="shared" si="41"/>
        <v>0</v>
      </c>
      <c r="G273" s="404">
        <f t="shared" si="42"/>
        <v>0</v>
      </c>
      <c r="H273" s="281"/>
      <c r="I273" s="413"/>
      <c r="J273" s="274">
        <v>259</v>
      </c>
      <c r="K273" s="428">
        <f t="shared" ref="K273:K336" si="48">EDATE(K272+1,1)-1</f>
        <v>53174</v>
      </c>
      <c r="L273" s="286">
        <f t="shared" ref="L273:L336" si="49">IF(J273&gt;$N$6,0,O272)</f>
        <v>0</v>
      </c>
      <c r="M273" s="286">
        <f t="shared" si="43"/>
        <v>0</v>
      </c>
      <c r="N273" s="285">
        <f t="shared" si="44"/>
        <v>0</v>
      </c>
      <c r="O273" s="427">
        <f t="shared" si="45"/>
        <v>0</v>
      </c>
      <c r="Q273" s="413"/>
      <c r="R273" s="274"/>
      <c r="S273" s="428"/>
      <c r="T273" s="286"/>
      <c r="U273" s="286"/>
      <c r="V273" s="285"/>
      <c r="W273" s="427"/>
    </row>
    <row r="274" spans="1:23" x14ac:dyDescent="0.15">
      <c r="A274" s="398"/>
      <c r="B274" s="272">
        <v>260</v>
      </c>
      <c r="C274" s="278">
        <f t="shared" si="46"/>
        <v>53205</v>
      </c>
      <c r="D274" s="280">
        <f t="shared" si="47"/>
        <v>0</v>
      </c>
      <c r="E274" s="280">
        <f t="shared" si="40"/>
        <v>0</v>
      </c>
      <c r="F274" s="280">
        <f t="shared" si="41"/>
        <v>0</v>
      </c>
      <c r="G274" s="404">
        <f t="shared" si="42"/>
        <v>0</v>
      </c>
      <c r="H274" s="281"/>
      <c r="I274" s="413"/>
      <c r="J274" s="274">
        <v>260</v>
      </c>
      <c r="K274" s="428">
        <f t="shared" si="48"/>
        <v>53205</v>
      </c>
      <c r="L274" s="286">
        <f t="shared" si="49"/>
        <v>0</v>
      </c>
      <c r="M274" s="286">
        <f t="shared" si="43"/>
        <v>0</v>
      </c>
      <c r="N274" s="285">
        <f t="shared" si="44"/>
        <v>0</v>
      </c>
      <c r="O274" s="427">
        <f t="shared" si="45"/>
        <v>0</v>
      </c>
      <c r="Q274" s="413"/>
      <c r="R274" s="274"/>
      <c r="S274" s="428"/>
      <c r="T274" s="286"/>
      <c r="U274" s="286"/>
      <c r="V274" s="285"/>
      <c r="W274" s="427"/>
    </row>
    <row r="275" spans="1:23" x14ac:dyDescent="0.15">
      <c r="A275" s="398"/>
      <c r="B275" s="272">
        <v>261</v>
      </c>
      <c r="C275" s="278">
        <f t="shared" si="46"/>
        <v>53235</v>
      </c>
      <c r="D275" s="280">
        <f t="shared" si="47"/>
        <v>0</v>
      </c>
      <c r="E275" s="280">
        <f t="shared" si="40"/>
        <v>0</v>
      </c>
      <c r="F275" s="280">
        <f t="shared" si="41"/>
        <v>0</v>
      </c>
      <c r="G275" s="404">
        <f t="shared" si="42"/>
        <v>0</v>
      </c>
      <c r="H275" s="281"/>
      <c r="I275" s="413"/>
      <c r="J275" s="274">
        <v>261</v>
      </c>
      <c r="K275" s="428">
        <f t="shared" si="48"/>
        <v>53235</v>
      </c>
      <c r="L275" s="286">
        <f t="shared" si="49"/>
        <v>0</v>
      </c>
      <c r="M275" s="286">
        <f t="shared" si="43"/>
        <v>0</v>
      </c>
      <c r="N275" s="285">
        <f t="shared" si="44"/>
        <v>0</v>
      </c>
      <c r="O275" s="427">
        <f t="shared" si="45"/>
        <v>0</v>
      </c>
      <c r="Q275" s="413"/>
      <c r="R275" s="274"/>
      <c r="S275" s="428"/>
      <c r="T275" s="286"/>
      <c r="U275" s="286"/>
      <c r="V275" s="285"/>
      <c r="W275" s="427"/>
    </row>
    <row r="276" spans="1:23" x14ac:dyDescent="0.15">
      <c r="A276" s="398"/>
      <c r="B276" s="272">
        <v>262</v>
      </c>
      <c r="C276" s="278">
        <f t="shared" si="46"/>
        <v>53266</v>
      </c>
      <c r="D276" s="280">
        <f t="shared" si="47"/>
        <v>0</v>
      </c>
      <c r="E276" s="280">
        <f t="shared" si="40"/>
        <v>0</v>
      </c>
      <c r="F276" s="280">
        <f t="shared" si="41"/>
        <v>0</v>
      </c>
      <c r="G276" s="404">
        <f t="shared" si="42"/>
        <v>0</v>
      </c>
      <c r="H276" s="281"/>
      <c r="I276" s="413"/>
      <c r="J276" s="274">
        <v>262</v>
      </c>
      <c r="K276" s="428">
        <f t="shared" si="48"/>
        <v>53266</v>
      </c>
      <c r="L276" s="286">
        <f t="shared" si="49"/>
        <v>0</v>
      </c>
      <c r="M276" s="286">
        <f t="shared" si="43"/>
        <v>0</v>
      </c>
      <c r="N276" s="285">
        <f t="shared" si="44"/>
        <v>0</v>
      </c>
      <c r="O276" s="427">
        <f t="shared" si="45"/>
        <v>0</v>
      </c>
      <c r="Q276" s="413"/>
      <c r="R276" s="274"/>
      <c r="S276" s="428"/>
      <c r="T276" s="286"/>
      <c r="U276" s="286"/>
      <c r="V276" s="285"/>
      <c r="W276" s="427"/>
    </row>
    <row r="277" spans="1:23" x14ac:dyDescent="0.15">
      <c r="A277" s="398"/>
      <c r="B277" s="272">
        <v>263</v>
      </c>
      <c r="C277" s="278">
        <f t="shared" si="46"/>
        <v>53296</v>
      </c>
      <c r="D277" s="280">
        <f t="shared" si="47"/>
        <v>0</v>
      </c>
      <c r="E277" s="280">
        <f t="shared" si="40"/>
        <v>0</v>
      </c>
      <c r="F277" s="280">
        <f t="shared" si="41"/>
        <v>0</v>
      </c>
      <c r="G277" s="404">
        <f t="shared" si="42"/>
        <v>0</v>
      </c>
      <c r="H277" s="281"/>
      <c r="I277" s="413"/>
      <c r="J277" s="274">
        <v>263</v>
      </c>
      <c r="K277" s="428">
        <f t="shared" si="48"/>
        <v>53296</v>
      </c>
      <c r="L277" s="286">
        <f t="shared" si="49"/>
        <v>0</v>
      </c>
      <c r="M277" s="286">
        <f t="shared" si="43"/>
        <v>0</v>
      </c>
      <c r="N277" s="285">
        <f t="shared" si="44"/>
        <v>0</v>
      </c>
      <c r="O277" s="427">
        <f t="shared" si="45"/>
        <v>0</v>
      </c>
      <c r="Q277" s="413"/>
      <c r="R277" s="274"/>
      <c r="S277" s="428"/>
      <c r="T277" s="286"/>
      <c r="U277" s="286"/>
      <c r="V277" s="285"/>
      <c r="W277" s="427"/>
    </row>
    <row r="278" spans="1:23" x14ac:dyDescent="0.15">
      <c r="A278" s="398"/>
      <c r="B278" s="272">
        <v>264</v>
      </c>
      <c r="C278" s="278">
        <f t="shared" si="46"/>
        <v>53327</v>
      </c>
      <c r="D278" s="280">
        <f t="shared" si="47"/>
        <v>0</v>
      </c>
      <c r="E278" s="280">
        <f t="shared" si="40"/>
        <v>0</v>
      </c>
      <c r="F278" s="280">
        <f t="shared" si="41"/>
        <v>0</v>
      </c>
      <c r="G278" s="404">
        <f t="shared" si="42"/>
        <v>0</v>
      </c>
      <c r="H278" s="281"/>
      <c r="I278" s="413"/>
      <c r="J278" s="274">
        <v>264</v>
      </c>
      <c r="K278" s="428">
        <f t="shared" si="48"/>
        <v>53327</v>
      </c>
      <c r="L278" s="286">
        <f t="shared" si="49"/>
        <v>0</v>
      </c>
      <c r="M278" s="286">
        <f t="shared" si="43"/>
        <v>0</v>
      </c>
      <c r="N278" s="285">
        <f t="shared" si="44"/>
        <v>0</v>
      </c>
      <c r="O278" s="427">
        <f t="shared" si="45"/>
        <v>0</v>
      </c>
      <c r="Q278" s="413"/>
      <c r="R278" s="274"/>
      <c r="S278" s="428"/>
      <c r="T278" s="286"/>
      <c r="U278" s="286"/>
      <c r="V278" s="285"/>
      <c r="W278" s="427"/>
    </row>
    <row r="279" spans="1:23" x14ac:dyDescent="0.15">
      <c r="A279" s="398"/>
      <c r="B279" s="272">
        <v>265</v>
      </c>
      <c r="C279" s="278">
        <f t="shared" si="46"/>
        <v>53358</v>
      </c>
      <c r="D279" s="280">
        <f t="shared" si="47"/>
        <v>0</v>
      </c>
      <c r="E279" s="280">
        <f t="shared" si="40"/>
        <v>0</v>
      </c>
      <c r="F279" s="280">
        <f t="shared" si="41"/>
        <v>0</v>
      </c>
      <c r="G279" s="404">
        <f t="shared" si="42"/>
        <v>0</v>
      </c>
      <c r="H279" s="281"/>
      <c r="I279" s="413"/>
      <c r="J279" s="274">
        <v>265</v>
      </c>
      <c r="K279" s="428">
        <f t="shared" si="48"/>
        <v>53358</v>
      </c>
      <c r="L279" s="286">
        <f t="shared" si="49"/>
        <v>0</v>
      </c>
      <c r="M279" s="286">
        <f t="shared" si="43"/>
        <v>0</v>
      </c>
      <c r="N279" s="285">
        <f t="shared" si="44"/>
        <v>0</v>
      </c>
      <c r="O279" s="427">
        <f t="shared" si="45"/>
        <v>0</v>
      </c>
      <c r="Q279" s="413"/>
      <c r="R279" s="274"/>
      <c r="S279" s="428"/>
      <c r="T279" s="286"/>
      <c r="U279" s="286"/>
      <c r="V279" s="285"/>
      <c r="W279" s="427"/>
    </row>
    <row r="280" spans="1:23" x14ac:dyDescent="0.15">
      <c r="A280" s="398"/>
      <c r="B280" s="272">
        <v>266</v>
      </c>
      <c r="C280" s="278">
        <f t="shared" si="46"/>
        <v>53386</v>
      </c>
      <c r="D280" s="280">
        <f t="shared" si="47"/>
        <v>0</v>
      </c>
      <c r="E280" s="280">
        <f t="shared" si="40"/>
        <v>0</v>
      </c>
      <c r="F280" s="280">
        <f t="shared" si="41"/>
        <v>0</v>
      </c>
      <c r="G280" s="404">
        <f t="shared" si="42"/>
        <v>0</v>
      </c>
      <c r="H280" s="281"/>
      <c r="I280" s="413"/>
      <c r="J280" s="274">
        <v>266</v>
      </c>
      <c r="K280" s="428">
        <f t="shared" si="48"/>
        <v>53386</v>
      </c>
      <c r="L280" s="286">
        <f t="shared" si="49"/>
        <v>0</v>
      </c>
      <c r="M280" s="286">
        <f t="shared" si="43"/>
        <v>0</v>
      </c>
      <c r="N280" s="285">
        <f t="shared" si="44"/>
        <v>0</v>
      </c>
      <c r="O280" s="427">
        <f t="shared" si="45"/>
        <v>0</v>
      </c>
      <c r="Q280" s="413"/>
      <c r="R280" s="274"/>
      <c r="S280" s="428"/>
      <c r="T280" s="286"/>
      <c r="U280" s="286"/>
      <c r="V280" s="285"/>
      <c r="W280" s="427"/>
    </row>
    <row r="281" spans="1:23" x14ac:dyDescent="0.15">
      <c r="A281" s="398"/>
      <c r="B281" s="272">
        <v>267</v>
      </c>
      <c r="C281" s="278">
        <f t="shared" si="46"/>
        <v>53417</v>
      </c>
      <c r="D281" s="280">
        <f t="shared" si="47"/>
        <v>0</v>
      </c>
      <c r="E281" s="280">
        <f t="shared" si="40"/>
        <v>0</v>
      </c>
      <c r="F281" s="280">
        <f t="shared" si="41"/>
        <v>0</v>
      </c>
      <c r="G281" s="404">
        <f t="shared" si="42"/>
        <v>0</v>
      </c>
      <c r="H281" s="281"/>
      <c r="I281" s="413"/>
      <c r="J281" s="274">
        <v>267</v>
      </c>
      <c r="K281" s="428">
        <f t="shared" si="48"/>
        <v>53417</v>
      </c>
      <c r="L281" s="286">
        <f t="shared" si="49"/>
        <v>0</v>
      </c>
      <c r="M281" s="286">
        <f t="shared" si="43"/>
        <v>0</v>
      </c>
      <c r="N281" s="285">
        <f t="shared" si="44"/>
        <v>0</v>
      </c>
      <c r="O281" s="427">
        <f t="shared" si="45"/>
        <v>0</v>
      </c>
      <c r="Q281" s="413"/>
      <c r="R281" s="274"/>
      <c r="S281" s="428"/>
      <c r="T281" s="286"/>
      <c r="U281" s="286"/>
      <c r="V281" s="285"/>
      <c r="W281" s="427"/>
    </row>
    <row r="282" spans="1:23" x14ac:dyDescent="0.15">
      <c r="A282" s="398"/>
      <c r="B282" s="272">
        <v>268</v>
      </c>
      <c r="C282" s="278">
        <f t="shared" si="46"/>
        <v>53447</v>
      </c>
      <c r="D282" s="280">
        <f t="shared" si="47"/>
        <v>0</v>
      </c>
      <c r="E282" s="280">
        <f t="shared" si="40"/>
        <v>0</v>
      </c>
      <c r="F282" s="280">
        <f t="shared" si="41"/>
        <v>0</v>
      </c>
      <c r="G282" s="404">
        <f t="shared" si="42"/>
        <v>0</v>
      </c>
      <c r="H282" s="281"/>
      <c r="I282" s="413"/>
      <c r="J282" s="274">
        <v>268</v>
      </c>
      <c r="K282" s="428">
        <f t="shared" si="48"/>
        <v>53447</v>
      </c>
      <c r="L282" s="286">
        <f t="shared" si="49"/>
        <v>0</v>
      </c>
      <c r="M282" s="286">
        <f t="shared" si="43"/>
        <v>0</v>
      </c>
      <c r="N282" s="285">
        <f t="shared" si="44"/>
        <v>0</v>
      </c>
      <c r="O282" s="427">
        <f t="shared" si="45"/>
        <v>0</v>
      </c>
      <c r="Q282" s="413"/>
      <c r="R282" s="274"/>
      <c r="S282" s="428"/>
      <c r="T282" s="286"/>
      <c r="U282" s="286"/>
      <c r="V282" s="285"/>
      <c r="W282" s="427"/>
    </row>
    <row r="283" spans="1:23" x14ac:dyDescent="0.15">
      <c r="A283" s="398"/>
      <c r="B283" s="272">
        <v>269</v>
      </c>
      <c r="C283" s="278">
        <f t="shared" si="46"/>
        <v>53478</v>
      </c>
      <c r="D283" s="280">
        <f t="shared" si="47"/>
        <v>0</v>
      </c>
      <c r="E283" s="280">
        <f t="shared" si="40"/>
        <v>0</v>
      </c>
      <c r="F283" s="280">
        <f t="shared" si="41"/>
        <v>0</v>
      </c>
      <c r="G283" s="404">
        <f t="shared" si="42"/>
        <v>0</v>
      </c>
      <c r="H283" s="281"/>
      <c r="I283" s="413"/>
      <c r="J283" s="274">
        <v>269</v>
      </c>
      <c r="K283" s="428">
        <f t="shared" si="48"/>
        <v>53478</v>
      </c>
      <c r="L283" s="286">
        <f t="shared" si="49"/>
        <v>0</v>
      </c>
      <c r="M283" s="286">
        <f t="shared" si="43"/>
        <v>0</v>
      </c>
      <c r="N283" s="285">
        <f t="shared" si="44"/>
        <v>0</v>
      </c>
      <c r="O283" s="427">
        <f t="shared" si="45"/>
        <v>0</v>
      </c>
      <c r="Q283" s="413"/>
      <c r="R283" s="274"/>
      <c r="S283" s="428"/>
      <c r="T283" s="286"/>
      <c r="U283" s="286"/>
      <c r="V283" s="285"/>
      <c r="W283" s="427"/>
    </row>
    <row r="284" spans="1:23" x14ac:dyDescent="0.15">
      <c r="A284" s="398"/>
      <c r="B284" s="272">
        <v>270</v>
      </c>
      <c r="C284" s="278">
        <f t="shared" si="46"/>
        <v>53508</v>
      </c>
      <c r="D284" s="280">
        <f t="shared" si="47"/>
        <v>0</v>
      </c>
      <c r="E284" s="280">
        <f t="shared" si="40"/>
        <v>0</v>
      </c>
      <c r="F284" s="280">
        <f t="shared" si="41"/>
        <v>0</v>
      </c>
      <c r="G284" s="404">
        <f t="shared" si="42"/>
        <v>0</v>
      </c>
      <c r="H284" s="281"/>
      <c r="I284" s="413"/>
      <c r="J284" s="274">
        <v>270</v>
      </c>
      <c r="K284" s="428">
        <f t="shared" si="48"/>
        <v>53508</v>
      </c>
      <c r="L284" s="286">
        <f t="shared" si="49"/>
        <v>0</v>
      </c>
      <c r="M284" s="286">
        <f t="shared" si="43"/>
        <v>0</v>
      </c>
      <c r="N284" s="285">
        <f t="shared" si="44"/>
        <v>0</v>
      </c>
      <c r="O284" s="427">
        <f t="shared" si="45"/>
        <v>0</v>
      </c>
      <c r="Q284" s="413"/>
      <c r="R284" s="274"/>
      <c r="S284" s="428"/>
      <c r="T284" s="286"/>
      <c r="U284" s="286"/>
      <c r="V284" s="285"/>
      <c r="W284" s="427"/>
    </row>
    <row r="285" spans="1:23" x14ac:dyDescent="0.15">
      <c r="A285" s="398"/>
      <c r="B285" s="272">
        <v>271</v>
      </c>
      <c r="C285" s="278">
        <f t="shared" si="46"/>
        <v>53539</v>
      </c>
      <c r="D285" s="280">
        <f t="shared" si="47"/>
        <v>0</v>
      </c>
      <c r="E285" s="280">
        <f t="shared" si="40"/>
        <v>0</v>
      </c>
      <c r="F285" s="280">
        <f t="shared" si="41"/>
        <v>0</v>
      </c>
      <c r="G285" s="404">
        <f t="shared" si="42"/>
        <v>0</v>
      </c>
      <c r="H285" s="281"/>
      <c r="I285" s="413"/>
      <c r="J285" s="274">
        <v>271</v>
      </c>
      <c r="K285" s="428">
        <f t="shared" si="48"/>
        <v>53539</v>
      </c>
      <c r="L285" s="286">
        <f t="shared" si="49"/>
        <v>0</v>
      </c>
      <c r="M285" s="286">
        <f t="shared" si="43"/>
        <v>0</v>
      </c>
      <c r="N285" s="285">
        <f t="shared" si="44"/>
        <v>0</v>
      </c>
      <c r="O285" s="427">
        <f t="shared" si="45"/>
        <v>0</v>
      </c>
      <c r="Q285" s="413"/>
      <c r="R285" s="274"/>
      <c r="S285" s="428"/>
      <c r="T285" s="286"/>
      <c r="U285" s="286"/>
      <c r="V285" s="285"/>
      <c r="W285" s="427"/>
    </row>
    <row r="286" spans="1:23" x14ac:dyDescent="0.15">
      <c r="A286" s="398"/>
      <c r="B286" s="272">
        <v>272</v>
      </c>
      <c r="C286" s="278">
        <f t="shared" si="46"/>
        <v>53570</v>
      </c>
      <c r="D286" s="280">
        <f t="shared" si="47"/>
        <v>0</v>
      </c>
      <c r="E286" s="280">
        <f t="shared" si="40"/>
        <v>0</v>
      </c>
      <c r="F286" s="280">
        <f t="shared" si="41"/>
        <v>0</v>
      </c>
      <c r="G286" s="404">
        <f t="shared" si="42"/>
        <v>0</v>
      </c>
      <c r="H286" s="281"/>
      <c r="I286" s="413"/>
      <c r="J286" s="274">
        <v>272</v>
      </c>
      <c r="K286" s="428">
        <f t="shared" si="48"/>
        <v>53570</v>
      </c>
      <c r="L286" s="286">
        <f t="shared" si="49"/>
        <v>0</v>
      </c>
      <c r="M286" s="286">
        <f t="shared" si="43"/>
        <v>0</v>
      </c>
      <c r="N286" s="285">
        <f t="shared" si="44"/>
        <v>0</v>
      </c>
      <c r="O286" s="427">
        <f t="shared" si="45"/>
        <v>0</v>
      </c>
      <c r="Q286" s="413"/>
      <c r="R286" s="274"/>
      <c r="S286" s="428"/>
      <c r="T286" s="286"/>
      <c r="U286" s="286"/>
      <c r="V286" s="285"/>
      <c r="W286" s="427"/>
    </row>
    <row r="287" spans="1:23" x14ac:dyDescent="0.15">
      <c r="A287" s="398"/>
      <c r="B287" s="272">
        <v>273</v>
      </c>
      <c r="C287" s="278">
        <f t="shared" si="46"/>
        <v>53600</v>
      </c>
      <c r="D287" s="280">
        <f t="shared" si="47"/>
        <v>0</v>
      </c>
      <c r="E287" s="280">
        <f t="shared" si="40"/>
        <v>0</v>
      </c>
      <c r="F287" s="280">
        <f t="shared" si="41"/>
        <v>0</v>
      </c>
      <c r="G287" s="404">
        <f t="shared" si="42"/>
        <v>0</v>
      </c>
      <c r="H287" s="281"/>
      <c r="I287" s="413"/>
      <c r="J287" s="274">
        <v>273</v>
      </c>
      <c r="K287" s="428">
        <f t="shared" si="48"/>
        <v>53600</v>
      </c>
      <c r="L287" s="286">
        <f t="shared" si="49"/>
        <v>0</v>
      </c>
      <c r="M287" s="286">
        <f t="shared" si="43"/>
        <v>0</v>
      </c>
      <c r="N287" s="285">
        <f t="shared" si="44"/>
        <v>0</v>
      </c>
      <c r="O287" s="427">
        <f t="shared" si="45"/>
        <v>0</v>
      </c>
      <c r="Q287" s="413"/>
      <c r="R287" s="274"/>
      <c r="S287" s="428"/>
      <c r="T287" s="286"/>
      <c r="U287" s="286"/>
      <c r="V287" s="285"/>
      <c r="W287" s="427"/>
    </row>
    <row r="288" spans="1:23" x14ac:dyDescent="0.15">
      <c r="A288" s="398"/>
      <c r="B288" s="272">
        <v>274</v>
      </c>
      <c r="C288" s="278">
        <f t="shared" si="46"/>
        <v>53631</v>
      </c>
      <c r="D288" s="280">
        <f t="shared" si="47"/>
        <v>0</v>
      </c>
      <c r="E288" s="280">
        <f t="shared" si="40"/>
        <v>0</v>
      </c>
      <c r="F288" s="280">
        <f t="shared" si="41"/>
        <v>0</v>
      </c>
      <c r="G288" s="404">
        <f t="shared" si="42"/>
        <v>0</v>
      </c>
      <c r="H288" s="281"/>
      <c r="I288" s="413"/>
      <c r="J288" s="274">
        <v>274</v>
      </c>
      <c r="K288" s="428">
        <f t="shared" si="48"/>
        <v>53631</v>
      </c>
      <c r="L288" s="286">
        <f t="shared" si="49"/>
        <v>0</v>
      </c>
      <c r="M288" s="286">
        <f t="shared" si="43"/>
        <v>0</v>
      </c>
      <c r="N288" s="285">
        <f t="shared" si="44"/>
        <v>0</v>
      </c>
      <c r="O288" s="427">
        <f t="shared" si="45"/>
        <v>0</v>
      </c>
      <c r="Q288" s="413"/>
      <c r="R288" s="274"/>
      <c r="S288" s="428"/>
      <c r="T288" s="286"/>
      <c r="U288" s="286"/>
      <c r="V288" s="285"/>
      <c r="W288" s="427"/>
    </row>
    <row r="289" spans="1:23" x14ac:dyDescent="0.15">
      <c r="A289" s="398"/>
      <c r="B289" s="272">
        <v>275</v>
      </c>
      <c r="C289" s="278">
        <f t="shared" si="46"/>
        <v>53661</v>
      </c>
      <c r="D289" s="280">
        <f t="shared" si="47"/>
        <v>0</v>
      </c>
      <c r="E289" s="280">
        <f t="shared" si="40"/>
        <v>0</v>
      </c>
      <c r="F289" s="280">
        <f t="shared" si="41"/>
        <v>0</v>
      </c>
      <c r="G289" s="404">
        <f t="shared" si="42"/>
        <v>0</v>
      </c>
      <c r="H289" s="281"/>
      <c r="I289" s="413"/>
      <c r="J289" s="274">
        <v>275</v>
      </c>
      <c r="K289" s="428">
        <f t="shared" si="48"/>
        <v>53661</v>
      </c>
      <c r="L289" s="286">
        <f t="shared" si="49"/>
        <v>0</v>
      </c>
      <c r="M289" s="286">
        <f t="shared" si="43"/>
        <v>0</v>
      </c>
      <c r="N289" s="285">
        <f t="shared" si="44"/>
        <v>0</v>
      </c>
      <c r="O289" s="427">
        <f t="shared" si="45"/>
        <v>0</v>
      </c>
      <c r="Q289" s="413"/>
      <c r="R289" s="274"/>
      <c r="S289" s="428"/>
      <c r="T289" s="286"/>
      <c r="U289" s="286"/>
      <c r="V289" s="285"/>
      <c r="W289" s="427"/>
    </row>
    <row r="290" spans="1:23" x14ac:dyDescent="0.15">
      <c r="A290" s="398"/>
      <c r="B290" s="272">
        <v>276</v>
      </c>
      <c r="C290" s="278">
        <f t="shared" si="46"/>
        <v>53692</v>
      </c>
      <c r="D290" s="280">
        <f t="shared" si="47"/>
        <v>0</v>
      </c>
      <c r="E290" s="280">
        <f t="shared" si="40"/>
        <v>0</v>
      </c>
      <c r="F290" s="280">
        <f t="shared" si="41"/>
        <v>0</v>
      </c>
      <c r="G290" s="404">
        <f t="shared" si="42"/>
        <v>0</v>
      </c>
      <c r="H290" s="281"/>
      <c r="I290" s="413"/>
      <c r="J290" s="274">
        <v>276</v>
      </c>
      <c r="K290" s="428">
        <f t="shared" si="48"/>
        <v>53692</v>
      </c>
      <c r="L290" s="286">
        <f t="shared" si="49"/>
        <v>0</v>
      </c>
      <c r="M290" s="286">
        <f t="shared" si="43"/>
        <v>0</v>
      </c>
      <c r="N290" s="285">
        <f t="shared" si="44"/>
        <v>0</v>
      </c>
      <c r="O290" s="427">
        <f t="shared" si="45"/>
        <v>0</v>
      </c>
      <c r="Q290" s="413"/>
      <c r="R290" s="274"/>
      <c r="S290" s="428"/>
      <c r="T290" s="286"/>
      <c r="U290" s="286"/>
      <c r="V290" s="285"/>
      <c r="W290" s="427"/>
    </row>
    <row r="291" spans="1:23" x14ac:dyDescent="0.15">
      <c r="A291" s="398"/>
      <c r="B291" s="272">
        <v>277</v>
      </c>
      <c r="C291" s="278">
        <f t="shared" si="46"/>
        <v>53723</v>
      </c>
      <c r="D291" s="280">
        <f t="shared" si="47"/>
        <v>0</v>
      </c>
      <c r="E291" s="280">
        <f t="shared" si="40"/>
        <v>0</v>
      </c>
      <c r="F291" s="280">
        <f t="shared" si="41"/>
        <v>0</v>
      </c>
      <c r="G291" s="404">
        <f t="shared" si="42"/>
        <v>0</v>
      </c>
      <c r="H291" s="281"/>
      <c r="I291" s="413"/>
      <c r="J291" s="274">
        <v>277</v>
      </c>
      <c r="K291" s="428">
        <f t="shared" si="48"/>
        <v>53723</v>
      </c>
      <c r="L291" s="286">
        <f t="shared" si="49"/>
        <v>0</v>
      </c>
      <c r="M291" s="286">
        <f t="shared" si="43"/>
        <v>0</v>
      </c>
      <c r="N291" s="285">
        <f t="shared" si="44"/>
        <v>0</v>
      </c>
      <c r="O291" s="427">
        <f t="shared" si="45"/>
        <v>0</v>
      </c>
      <c r="Q291" s="413"/>
      <c r="R291" s="274"/>
      <c r="S291" s="428"/>
      <c r="T291" s="286"/>
      <c r="U291" s="286"/>
      <c r="V291" s="285"/>
      <c r="W291" s="427"/>
    </row>
    <row r="292" spans="1:23" x14ac:dyDescent="0.15">
      <c r="A292" s="398"/>
      <c r="B292" s="272">
        <v>278</v>
      </c>
      <c r="C292" s="278">
        <f t="shared" si="46"/>
        <v>53751</v>
      </c>
      <c r="D292" s="280">
        <f t="shared" si="47"/>
        <v>0</v>
      </c>
      <c r="E292" s="280">
        <f t="shared" si="40"/>
        <v>0</v>
      </c>
      <c r="F292" s="280">
        <f t="shared" si="41"/>
        <v>0</v>
      </c>
      <c r="G292" s="404">
        <f t="shared" si="42"/>
        <v>0</v>
      </c>
      <c r="H292" s="281"/>
      <c r="I292" s="413"/>
      <c r="J292" s="274">
        <v>278</v>
      </c>
      <c r="K292" s="428">
        <f t="shared" si="48"/>
        <v>53751</v>
      </c>
      <c r="L292" s="286">
        <f t="shared" si="49"/>
        <v>0</v>
      </c>
      <c r="M292" s="286">
        <f t="shared" si="43"/>
        <v>0</v>
      </c>
      <c r="N292" s="285">
        <f t="shared" si="44"/>
        <v>0</v>
      </c>
      <c r="O292" s="427">
        <f t="shared" si="45"/>
        <v>0</v>
      </c>
      <c r="Q292" s="413"/>
      <c r="R292" s="274"/>
      <c r="S292" s="428"/>
      <c r="T292" s="286"/>
      <c r="U292" s="286"/>
      <c r="V292" s="285"/>
      <c r="W292" s="427"/>
    </row>
    <row r="293" spans="1:23" x14ac:dyDescent="0.15">
      <c r="A293" s="398"/>
      <c r="B293" s="272">
        <v>279</v>
      </c>
      <c r="C293" s="278">
        <f t="shared" si="46"/>
        <v>53782</v>
      </c>
      <c r="D293" s="280">
        <f t="shared" si="47"/>
        <v>0</v>
      </c>
      <c r="E293" s="280">
        <f t="shared" si="40"/>
        <v>0</v>
      </c>
      <c r="F293" s="280">
        <f t="shared" si="41"/>
        <v>0</v>
      </c>
      <c r="G293" s="404">
        <f t="shared" si="42"/>
        <v>0</v>
      </c>
      <c r="H293" s="281"/>
      <c r="I293" s="413"/>
      <c r="J293" s="274">
        <v>279</v>
      </c>
      <c r="K293" s="428">
        <f t="shared" si="48"/>
        <v>53782</v>
      </c>
      <c r="L293" s="286">
        <f t="shared" si="49"/>
        <v>0</v>
      </c>
      <c r="M293" s="286">
        <f t="shared" si="43"/>
        <v>0</v>
      </c>
      <c r="N293" s="285">
        <f t="shared" si="44"/>
        <v>0</v>
      </c>
      <c r="O293" s="427">
        <f t="shared" si="45"/>
        <v>0</v>
      </c>
      <c r="Q293" s="413"/>
      <c r="R293" s="274"/>
      <c r="S293" s="428"/>
      <c r="T293" s="286"/>
      <c r="U293" s="286"/>
      <c r="V293" s="285"/>
      <c r="W293" s="427"/>
    </row>
    <row r="294" spans="1:23" x14ac:dyDescent="0.15">
      <c r="A294" s="398"/>
      <c r="B294" s="272">
        <v>280</v>
      </c>
      <c r="C294" s="278">
        <f t="shared" si="46"/>
        <v>53812</v>
      </c>
      <c r="D294" s="280">
        <f t="shared" si="47"/>
        <v>0</v>
      </c>
      <c r="E294" s="280">
        <f t="shared" si="40"/>
        <v>0</v>
      </c>
      <c r="F294" s="280">
        <f t="shared" si="41"/>
        <v>0</v>
      </c>
      <c r="G294" s="404">
        <f t="shared" si="42"/>
        <v>0</v>
      </c>
      <c r="H294" s="281"/>
      <c r="I294" s="413"/>
      <c r="J294" s="274">
        <v>280</v>
      </c>
      <c r="K294" s="428">
        <f t="shared" si="48"/>
        <v>53812</v>
      </c>
      <c r="L294" s="286">
        <f t="shared" si="49"/>
        <v>0</v>
      </c>
      <c r="M294" s="286">
        <f t="shared" si="43"/>
        <v>0</v>
      </c>
      <c r="N294" s="285">
        <f t="shared" si="44"/>
        <v>0</v>
      </c>
      <c r="O294" s="427">
        <f t="shared" si="45"/>
        <v>0</v>
      </c>
      <c r="Q294" s="413"/>
      <c r="R294" s="274"/>
      <c r="S294" s="428"/>
      <c r="T294" s="286"/>
      <c r="U294" s="286"/>
      <c r="V294" s="285"/>
      <c r="W294" s="427"/>
    </row>
    <row r="295" spans="1:23" x14ac:dyDescent="0.15">
      <c r="A295" s="398"/>
      <c r="B295" s="272">
        <v>281</v>
      </c>
      <c r="C295" s="278">
        <f t="shared" si="46"/>
        <v>53843</v>
      </c>
      <c r="D295" s="280">
        <f t="shared" si="47"/>
        <v>0</v>
      </c>
      <c r="E295" s="280">
        <f t="shared" si="40"/>
        <v>0</v>
      </c>
      <c r="F295" s="280">
        <f t="shared" si="41"/>
        <v>0</v>
      </c>
      <c r="G295" s="404">
        <f t="shared" si="42"/>
        <v>0</v>
      </c>
      <c r="H295" s="281"/>
      <c r="I295" s="413"/>
      <c r="J295" s="274">
        <v>281</v>
      </c>
      <c r="K295" s="428">
        <f t="shared" si="48"/>
        <v>53843</v>
      </c>
      <c r="L295" s="286">
        <f t="shared" si="49"/>
        <v>0</v>
      </c>
      <c r="M295" s="286">
        <f t="shared" si="43"/>
        <v>0</v>
      </c>
      <c r="N295" s="285">
        <f t="shared" si="44"/>
        <v>0</v>
      </c>
      <c r="O295" s="427">
        <f t="shared" si="45"/>
        <v>0</v>
      </c>
      <c r="Q295" s="413"/>
      <c r="R295" s="274"/>
      <c r="S295" s="428"/>
      <c r="T295" s="286"/>
      <c r="U295" s="286"/>
      <c r="V295" s="285"/>
      <c r="W295" s="427"/>
    </row>
    <row r="296" spans="1:23" x14ac:dyDescent="0.15">
      <c r="A296" s="398"/>
      <c r="B296" s="272">
        <v>282</v>
      </c>
      <c r="C296" s="278">
        <f t="shared" si="46"/>
        <v>53873</v>
      </c>
      <c r="D296" s="280">
        <f t="shared" si="47"/>
        <v>0</v>
      </c>
      <c r="E296" s="280">
        <f t="shared" si="40"/>
        <v>0</v>
      </c>
      <c r="F296" s="280">
        <f t="shared" si="41"/>
        <v>0</v>
      </c>
      <c r="G296" s="404">
        <f t="shared" si="42"/>
        <v>0</v>
      </c>
      <c r="H296" s="281"/>
      <c r="I296" s="413"/>
      <c r="J296" s="274">
        <v>282</v>
      </c>
      <c r="K296" s="428">
        <f t="shared" si="48"/>
        <v>53873</v>
      </c>
      <c r="L296" s="286">
        <f t="shared" si="49"/>
        <v>0</v>
      </c>
      <c r="M296" s="286">
        <f t="shared" si="43"/>
        <v>0</v>
      </c>
      <c r="N296" s="285">
        <f t="shared" si="44"/>
        <v>0</v>
      </c>
      <c r="O296" s="427">
        <f t="shared" si="45"/>
        <v>0</v>
      </c>
      <c r="Q296" s="413"/>
      <c r="R296" s="274"/>
      <c r="S296" s="428"/>
      <c r="T296" s="286"/>
      <c r="U296" s="286"/>
      <c r="V296" s="285"/>
      <c r="W296" s="427"/>
    </row>
    <row r="297" spans="1:23" x14ac:dyDescent="0.15">
      <c r="A297" s="398"/>
      <c r="B297" s="272">
        <v>283</v>
      </c>
      <c r="C297" s="278">
        <f t="shared" si="46"/>
        <v>53904</v>
      </c>
      <c r="D297" s="280">
        <f t="shared" si="47"/>
        <v>0</v>
      </c>
      <c r="E297" s="280">
        <f t="shared" si="40"/>
        <v>0</v>
      </c>
      <c r="F297" s="280">
        <f t="shared" si="41"/>
        <v>0</v>
      </c>
      <c r="G297" s="404">
        <f t="shared" si="42"/>
        <v>0</v>
      </c>
      <c r="H297" s="281"/>
      <c r="I297" s="413"/>
      <c r="J297" s="274">
        <v>283</v>
      </c>
      <c r="K297" s="428">
        <f t="shared" si="48"/>
        <v>53904</v>
      </c>
      <c r="L297" s="286">
        <f t="shared" si="49"/>
        <v>0</v>
      </c>
      <c r="M297" s="286">
        <f t="shared" si="43"/>
        <v>0</v>
      </c>
      <c r="N297" s="285">
        <f t="shared" si="44"/>
        <v>0</v>
      </c>
      <c r="O297" s="427">
        <f t="shared" si="45"/>
        <v>0</v>
      </c>
      <c r="Q297" s="413"/>
      <c r="R297" s="274"/>
      <c r="S297" s="428"/>
      <c r="T297" s="286"/>
      <c r="U297" s="286"/>
      <c r="V297" s="285"/>
      <c r="W297" s="427"/>
    </row>
    <row r="298" spans="1:23" x14ac:dyDescent="0.15">
      <c r="A298" s="398"/>
      <c r="B298" s="272">
        <v>284</v>
      </c>
      <c r="C298" s="278">
        <f t="shared" si="46"/>
        <v>53935</v>
      </c>
      <c r="D298" s="280">
        <f t="shared" si="47"/>
        <v>0</v>
      </c>
      <c r="E298" s="280">
        <f t="shared" si="40"/>
        <v>0</v>
      </c>
      <c r="F298" s="280">
        <f t="shared" si="41"/>
        <v>0</v>
      </c>
      <c r="G298" s="404">
        <f t="shared" si="42"/>
        <v>0</v>
      </c>
      <c r="H298" s="281"/>
      <c r="I298" s="413"/>
      <c r="J298" s="274">
        <v>284</v>
      </c>
      <c r="K298" s="428">
        <f t="shared" si="48"/>
        <v>53935</v>
      </c>
      <c r="L298" s="286">
        <f t="shared" si="49"/>
        <v>0</v>
      </c>
      <c r="M298" s="286">
        <f t="shared" si="43"/>
        <v>0</v>
      </c>
      <c r="N298" s="285">
        <f t="shared" si="44"/>
        <v>0</v>
      </c>
      <c r="O298" s="427">
        <f t="shared" si="45"/>
        <v>0</v>
      </c>
      <c r="Q298" s="413"/>
      <c r="R298" s="274"/>
      <c r="S298" s="428"/>
      <c r="T298" s="286"/>
      <c r="U298" s="286"/>
      <c r="V298" s="285"/>
      <c r="W298" s="427"/>
    </row>
    <row r="299" spans="1:23" x14ac:dyDescent="0.15">
      <c r="A299" s="398"/>
      <c r="B299" s="272">
        <v>285</v>
      </c>
      <c r="C299" s="278">
        <f t="shared" si="46"/>
        <v>53965</v>
      </c>
      <c r="D299" s="280">
        <f t="shared" si="47"/>
        <v>0</v>
      </c>
      <c r="E299" s="280">
        <f t="shared" si="40"/>
        <v>0</v>
      </c>
      <c r="F299" s="280">
        <f t="shared" si="41"/>
        <v>0</v>
      </c>
      <c r="G299" s="404">
        <f t="shared" si="42"/>
        <v>0</v>
      </c>
      <c r="H299" s="281"/>
      <c r="I299" s="413"/>
      <c r="J299" s="274">
        <v>285</v>
      </c>
      <c r="K299" s="428">
        <f t="shared" si="48"/>
        <v>53965</v>
      </c>
      <c r="L299" s="286">
        <f t="shared" si="49"/>
        <v>0</v>
      </c>
      <c r="M299" s="286">
        <f t="shared" si="43"/>
        <v>0</v>
      </c>
      <c r="N299" s="285">
        <f t="shared" si="44"/>
        <v>0</v>
      </c>
      <c r="O299" s="427">
        <f t="shared" si="45"/>
        <v>0</v>
      </c>
      <c r="Q299" s="413"/>
      <c r="R299" s="274"/>
      <c r="S299" s="428"/>
      <c r="T299" s="286"/>
      <c r="U299" s="286"/>
      <c r="V299" s="285"/>
      <c r="W299" s="427"/>
    </row>
    <row r="300" spans="1:23" x14ac:dyDescent="0.15">
      <c r="A300" s="398"/>
      <c r="B300" s="272">
        <v>286</v>
      </c>
      <c r="C300" s="278">
        <f t="shared" si="46"/>
        <v>53996</v>
      </c>
      <c r="D300" s="280">
        <f t="shared" si="47"/>
        <v>0</v>
      </c>
      <c r="E300" s="280">
        <f t="shared" si="40"/>
        <v>0</v>
      </c>
      <c r="F300" s="280">
        <f t="shared" si="41"/>
        <v>0</v>
      </c>
      <c r="G300" s="404">
        <f t="shared" si="42"/>
        <v>0</v>
      </c>
      <c r="H300" s="281"/>
      <c r="I300" s="413"/>
      <c r="J300" s="274">
        <v>286</v>
      </c>
      <c r="K300" s="428">
        <f t="shared" si="48"/>
        <v>53996</v>
      </c>
      <c r="L300" s="286">
        <f t="shared" si="49"/>
        <v>0</v>
      </c>
      <c r="M300" s="286">
        <f t="shared" si="43"/>
        <v>0</v>
      </c>
      <c r="N300" s="285">
        <f t="shared" si="44"/>
        <v>0</v>
      </c>
      <c r="O300" s="427">
        <f t="shared" si="45"/>
        <v>0</v>
      </c>
      <c r="Q300" s="413"/>
      <c r="R300" s="274"/>
      <c r="S300" s="428"/>
      <c r="T300" s="286"/>
      <c r="U300" s="286"/>
      <c r="V300" s="285"/>
      <c r="W300" s="427"/>
    </row>
    <row r="301" spans="1:23" x14ac:dyDescent="0.15">
      <c r="A301" s="398"/>
      <c r="B301" s="272">
        <v>287</v>
      </c>
      <c r="C301" s="278">
        <f t="shared" si="46"/>
        <v>54026</v>
      </c>
      <c r="D301" s="280">
        <f t="shared" si="47"/>
        <v>0</v>
      </c>
      <c r="E301" s="280">
        <f t="shared" si="40"/>
        <v>0</v>
      </c>
      <c r="F301" s="280">
        <f t="shared" si="41"/>
        <v>0</v>
      </c>
      <c r="G301" s="404">
        <f t="shared" si="42"/>
        <v>0</v>
      </c>
      <c r="H301" s="281"/>
      <c r="I301" s="413"/>
      <c r="J301" s="274">
        <v>287</v>
      </c>
      <c r="K301" s="428">
        <f t="shared" si="48"/>
        <v>54026</v>
      </c>
      <c r="L301" s="286">
        <f t="shared" si="49"/>
        <v>0</v>
      </c>
      <c r="M301" s="286">
        <f t="shared" si="43"/>
        <v>0</v>
      </c>
      <c r="N301" s="285">
        <f t="shared" si="44"/>
        <v>0</v>
      </c>
      <c r="O301" s="427">
        <f t="shared" si="45"/>
        <v>0</v>
      </c>
      <c r="Q301" s="413"/>
      <c r="R301" s="274"/>
      <c r="S301" s="428"/>
      <c r="T301" s="286"/>
      <c r="U301" s="286"/>
      <c r="V301" s="285"/>
      <c r="W301" s="427"/>
    </row>
    <row r="302" spans="1:23" x14ac:dyDescent="0.15">
      <c r="A302" s="398"/>
      <c r="B302" s="272">
        <v>288</v>
      </c>
      <c r="C302" s="278">
        <f t="shared" si="46"/>
        <v>54057</v>
      </c>
      <c r="D302" s="280">
        <f t="shared" si="47"/>
        <v>0</v>
      </c>
      <c r="E302" s="280">
        <f t="shared" si="40"/>
        <v>0</v>
      </c>
      <c r="F302" s="280">
        <f t="shared" si="41"/>
        <v>0</v>
      </c>
      <c r="G302" s="404">
        <f t="shared" si="42"/>
        <v>0</v>
      </c>
      <c r="H302" s="281"/>
      <c r="I302" s="413"/>
      <c r="J302" s="274">
        <v>288</v>
      </c>
      <c r="K302" s="428">
        <f t="shared" si="48"/>
        <v>54057</v>
      </c>
      <c r="L302" s="286">
        <f t="shared" si="49"/>
        <v>0</v>
      </c>
      <c r="M302" s="286">
        <f t="shared" si="43"/>
        <v>0</v>
      </c>
      <c r="N302" s="285">
        <f t="shared" si="44"/>
        <v>0</v>
      </c>
      <c r="O302" s="427">
        <f t="shared" si="45"/>
        <v>0</v>
      </c>
      <c r="Q302" s="413"/>
      <c r="R302" s="274"/>
      <c r="S302" s="428"/>
      <c r="T302" s="286"/>
      <c r="U302" s="286"/>
      <c r="V302" s="285"/>
      <c r="W302" s="427"/>
    </row>
    <row r="303" spans="1:23" x14ac:dyDescent="0.15">
      <c r="A303" s="398"/>
      <c r="B303" s="272">
        <v>289</v>
      </c>
      <c r="C303" s="278">
        <f t="shared" si="46"/>
        <v>54088</v>
      </c>
      <c r="D303" s="280">
        <f t="shared" si="47"/>
        <v>0</v>
      </c>
      <c r="E303" s="280">
        <f t="shared" si="40"/>
        <v>0</v>
      </c>
      <c r="F303" s="280">
        <f t="shared" si="41"/>
        <v>0</v>
      </c>
      <c r="G303" s="404">
        <f t="shared" si="42"/>
        <v>0</v>
      </c>
      <c r="H303" s="281"/>
      <c r="I303" s="413"/>
      <c r="J303" s="274">
        <v>289</v>
      </c>
      <c r="K303" s="428">
        <f t="shared" si="48"/>
        <v>54088</v>
      </c>
      <c r="L303" s="286">
        <f t="shared" si="49"/>
        <v>0</v>
      </c>
      <c r="M303" s="286">
        <f t="shared" si="43"/>
        <v>0</v>
      </c>
      <c r="N303" s="285">
        <f t="shared" si="44"/>
        <v>0</v>
      </c>
      <c r="O303" s="427">
        <f t="shared" si="45"/>
        <v>0</v>
      </c>
      <c r="Q303" s="413"/>
      <c r="R303" s="274"/>
      <c r="S303" s="428"/>
      <c r="T303" s="286"/>
      <c r="U303" s="286"/>
      <c r="V303" s="285"/>
      <c r="W303" s="427"/>
    </row>
    <row r="304" spans="1:23" x14ac:dyDescent="0.15">
      <c r="A304" s="398"/>
      <c r="B304" s="272">
        <v>290</v>
      </c>
      <c r="C304" s="278">
        <f t="shared" si="46"/>
        <v>54117</v>
      </c>
      <c r="D304" s="280">
        <f t="shared" si="47"/>
        <v>0</v>
      </c>
      <c r="E304" s="280">
        <f t="shared" si="40"/>
        <v>0</v>
      </c>
      <c r="F304" s="280">
        <f t="shared" si="41"/>
        <v>0</v>
      </c>
      <c r="G304" s="404">
        <f t="shared" si="42"/>
        <v>0</v>
      </c>
      <c r="H304" s="281"/>
      <c r="I304" s="413"/>
      <c r="J304" s="274">
        <v>290</v>
      </c>
      <c r="K304" s="428">
        <f t="shared" si="48"/>
        <v>54117</v>
      </c>
      <c r="L304" s="286">
        <f t="shared" si="49"/>
        <v>0</v>
      </c>
      <c r="M304" s="286">
        <f t="shared" si="43"/>
        <v>0</v>
      </c>
      <c r="N304" s="285">
        <f t="shared" si="44"/>
        <v>0</v>
      </c>
      <c r="O304" s="427">
        <f t="shared" si="45"/>
        <v>0</v>
      </c>
      <c r="Q304" s="413"/>
      <c r="R304" s="274"/>
      <c r="S304" s="428"/>
      <c r="T304" s="286"/>
      <c r="U304" s="286"/>
      <c r="V304" s="285"/>
      <c r="W304" s="427"/>
    </row>
    <row r="305" spans="1:23" x14ac:dyDescent="0.15">
      <c r="A305" s="398"/>
      <c r="B305" s="272">
        <v>291</v>
      </c>
      <c r="C305" s="278">
        <f t="shared" si="46"/>
        <v>54148</v>
      </c>
      <c r="D305" s="280">
        <f t="shared" si="47"/>
        <v>0</v>
      </c>
      <c r="E305" s="280">
        <f t="shared" si="40"/>
        <v>0</v>
      </c>
      <c r="F305" s="280">
        <f t="shared" si="41"/>
        <v>0</v>
      </c>
      <c r="G305" s="404">
        <f t="shared" si="42"/>
        <v>0</v>
      </c>
      <c r="H305" s="281"/>
      <c r="I305" s="413"/>
      <c r="J305" s="274">
        <v>291</v>
      </c>
      <c r="K305" s="428">
        <f t="shared" si="48"/>
        <v>54148</v>
      </c>
      <c r="L305" s="286">
        <f t="shared" si="49"/>
        <v>0</v>
      </c>
      <c r="M305" s="286">
        <f t="shared" si="43"/>
        <v>0</v>
      </c>
      <c r="N305" s="285">
        <f t="shared" si="44"/>
        <v>0</v>
      </c>
      <c r="O305" s="427">
        <f t="shared" si="45"/>
        <v>0</v>
      </c>
      <c r="Q305" s="413"/>
      <c r="R305" s="274"/>
      <c r="S305" s="428"/>
      <c r="T305" s="286"/>
      <c r="U305" s="286"/>
      <c r="V305" s="285"/>
      <c r="W305" s="427"/>
    </row>
    <row r="306" spans="1:23" x14ac:dyDescent="0.15">
      <c r="A306" s="398"/>
      <c r="B306" s="272">
        <v>292</v>
      </c>
      <c r="C306" s="278">
        <f t="shared" si="46"/>
        <v>54178</v>
      </c>
      <c r="D306" s="280">
        <f t="shared" si="47"/>
        <v>0</v>
      </c>
      <c r="E306" s="280">
        <f t="shared" si="40"/>
        <v>0</v>
      </c>
      <c r="F306" s="280">
        <f t="shared" si="41"/>
        <v>0</v>
      </c>
      <c r="G306" s="404">
        <f t="shared" si="42"/>
        <v>0</v>
      </c>
      <c r="H306" s="281"/>
      <c r="I306" s="413"/>
      <c r="J306" s="274">
        <v>292</v>
      </c>
      <c r="K306" s="428">
        <f t="shared" si="48"/>
        <v>54178</v>
      </c>
      <c r="L306" s="286">
        <f t="shared" si="49"/>
        <v>0</v>
      </c>
      <c r="M306" s="286">
        <f t="shared" si="43"/>
        <v>0</v>
      </c>
      <c r="N306" s="285">
        <f t="shared" si="44"/>
        <v>0</v>
      </c>
      <c r="O306" s="427">
        <f t="shared" si="45"/>
        <v>0</v>
      </c>
      <c r="Q306" s="413"/>
      <c r="R306" s="274"/>
      <c r="S306" s="428"/>
      <c r="T306" s="286"/>
      <c r="U306" s="286"/>
      <c r="V306" s="285"/>
      <c r="W306" s="427"/>
    </row>
    <row r="307" spans="1:23" x14ac:dyDescent="0.15">
      <c r="A307" s="398"/>
      <c r="B307" s="272">
        <v>293</v>
      </c>
      <c r="C307" s="278">
        <f t="shared" si="46"/>
        <v>54209</v>
      </c>
      <c r="D307" s="280">
        <f t="shared" si="47"/>
        <v>0</v>
      </c>
      <c r="E307" s="280">
        <f t="shared" si="40"/>
        <v>0</v>
      </c>
      <c r="F307" s="280">
        <f t="shared" si="41"/>
        <v>0</v>
      </c>
      <c r="G307" s="404">
        <f t="shared" si="42"/>
        <v>0</v>
      </c>
      <c r="H307" s="281"/>
      <c r="I307" s="413"/>
      <c r="J307" s="274">
        <v>293</v>
      </c>
      <c r="K307" s="428">
        <f t="shared" si="48"/>
        <v>54209</v>
      </c>
      <c r="L307" s="286">
        <f t="shared" si="49"/>
        <v>0</v>
      </c>
      <c r="M307" s="286">
        <f t="shared" si="43"/>
        <v>0</v>
      </c>
      <c r="N307" s="285">
        <f t="shared" si="44"/>
        <v>0</v>
      </c>
      <c r="O307" s="427">
        <f t="shared" si="45"/>
        <v>0</v>
      </c>
      <c r="Q307" s="413"/>
      <c r="R307" s="274"/>
      <c r="S307" s="428"/>
      <c r="T307" s="286"/>
      <c r="U307" s="286"/>
      <c r="V307" s="285"/>
      <c r="W307" s="427"/>
    </row>
    <row r="308" spans="1:23" x14ac:dyDescent="0.15">
      <c r="A308" s="398"/>
      <c r="B308" s="272">
        <v>294</v>
      </c>
      <c r="C308" s="278">
        <f t="shared" si="46"/>
        <v>54239</v>
      </c>
      <c r="D308" s="280">
        <f t="shared" si="47"/>
        <v>0</v>
      </c>
      <c r="E308" s="280">
        <f t="shared" si="40"/>
        <v>0</v>
      </c>
      <c r="F308" s="280">
        <f t="shared" si="41"/>
        <v>0</v>
      </c>
      <c r="G308" s="404">
        <f t="shared" si="42"/>
        <v>0</v>
      </c>
      <c r="H308" s="281"/>
      <c r="I308" s="413"/>
      <c r="J308" s="274">
        <v>294</v>
      </c>
      <c r="K308" s="428">
        <f t="shared" si="48"/>
        <v>54239</v>
      </c>
      <c r="L308" s="286">
        <f t="shared" si="49"/>
        <v>0</v>
      </c>
      <c r="M308" s="286">
        <f t="shared" si="43"/>
        <v>0</v>
      </c>
      <c r="N308" s="285">
        <f t="shared" si="44"/>
        <v>0</v>
      </c>
      <c r="O308" s="427">
        <f t="shared" si="45"/>
        <v>0</v>
      </c>
      <c r="Q308" s="413"/>
      <c r="R308" s="274"/>
      <c r="S308" s="428"/>
      <c r="T308" s="286"/>
      <c r="U308" s="286"/>
      <c r="V308" s="285"/>
      <c r="W308" s="427"/>
    </row>
    <row r="309" spans="1:23" x14ac:dyDescent="0.15">
      <c r="A309" s="398"/>
      <c r="B309" s="272">
        <v>295</v>
      </c>
      <c r="C309" s="278">
        <f t="shared" si="46"/>
        <v>54270</v>
      </c>
      <c r="D309" s="280">
        <f t="shared" si="47"/>
        <v>0</v>
      </c>
      <c r="E309" s="280">
        <f t="shared" si="40"/>
        <v>0</v>
      </c>
      <c r="F309" s="280">
        <f t="shared" si="41"/>
        <v>0</v>
      </c>
      <c r="G309" s="404">
        <f t="shared" si="42"/>
        <v>0</v>
      </c>
      <c r="H309" s="281"/>
      <c r="I309" s="413"/>
      <c r="J309" s="274">
        <v>295</v>
      </c>
      <c r="K309" s="428">
        <f t="shared" si="48"/>
        <v>54270</v>
      </c>
      <c r="L309" s="286">
        <f t="shared" si="49"/>
        <v>0</v>
      </c>
      <c r="M309" s="286">
        <f t="shared" si="43"/>
        <v>0</v>
      </c>
      <c r="N309" s="285">
        <f t="shared" si="44"/>
        <v>0</v>
      </c>
      <c r="O309" s="427">
        <f t="shared" si="45"/>
        <v>0</v>
      </c>
      <c r="Q309" s="413"/>
      <c r="R309" s="274"/>
      <c r="S309" s="428"/>
      <c r="T309" s="286"/>
      <c r="U309" s="286"/>
      <c r="V309" s="285"/>
      <c r="W309" s="427"/>
    </row>
    <row r="310" spans="1:23" x14ac:dyDescent="0.15">
      <c r="A310" s="398"/>
      <c r="B310" s="272">
        <v>296</v>
      </c>
      <c r="C310" s="278">
        <f t="shared" si="46"/>
        <v>54301</v>
      </c>
      <c r="D310" s="280">
        <f t="shared" si="47"/>
        <v>0</v>
      </c>
      <c r="E310" s="280">
        <f t="shared" si="40"/>
        <v>0</v>
      </c>
      <c r="F310" s="280">
        <f t="shared" si="41"/>
        <v>0</v>
      </c>
      <c r="G310" s="404">
        <f t="shared" si="42"/>
        <v>0</v>
      </c>
      <c r="H310" s="281"/>
      <c r="I310" s="413"/>
      <c r="J310" s="274">
        <v>296</v>
      </c>
      <c r="K310" s="428">
        <f t="shared" si="48"/>
        <v>54301</v>
      </c>
      <c r="L310" s="286">
        <f t="shared" si="49"/>
        <v>0</v>
      </c>
      <c r="M310" s="286">
        <f t="shared" si="43"/>
        <v>0</v>
      </c>
      <c r="N310" s="285">
        <f t="shared" si="44"/>
        <v>0</v>
      </c>
      <c r="O310" s="427">
        <f t="shared" si="45"/>
        <v>0</v>
      </c>
      <c r="Q310" s="413"/>
      <c r="R310" s="274"/>
      <c r="S310" s="428"/>
      <c r="T310" s="286"/>
      <c r="U310" s="286"/>
      <c r="V310" s="285"/>
      <c r="W310" s="427"/>
    </row>
    <row r="311" spans="1:23" x14ac:dyDescent="0.15">
      <c r="A311" s="398"/>
      <c r="B311" s="272">
        <v>297</v>
      </c>
      <c r="C311" s="278">
        <f t="shared" si="46"/>
        <v>54331</v>
      </c>
      <c r="D311" s="280">
        <f t="shared" si="47"/>
        <v>0</v>
      </c>
      <c r="E311" s="280">
        <f t="shared" si="40"/>
        <v>0</v>
      </c>
      <c r="F311" s="280">
        <f t="shared" si="41"/>
        <v>0</v>
      </c>
      <c r="G311" s="404">
        <f t="shared" si="42"/>
        <v>0</v>
      </c>
      <c r="H311" s="281"/>
      <c r="I311" s="413"/>
      <c r="J311" s="274">
        <v>297</v>
      </c>
      <c r="K311" s="428">
        <f t="shared" si="48"/>
        <v>54331</v>
      </c>
      <c r="L311" s="286">
        <f t="shared" si="49"/>
        <v>0</v>
      </c>
      <c r="M311" s="286">
        <f t="shared" si="43"/>
        <v>0</v>
      </c>
      <c r="N311" s="285">
        <f t="shared" si="44"/>
        <v>0</v>
      </c>
      <c r="O311" s="427">
        <f t="shared" si="45"/>
        <v>0</v>
      </c>
      <c r="Q311" s="413"/>
      <c r="R311" s="274"/>
      <c r="S311" s="428"/>
      <c r="T311" s="286"/>
      <c r="U311" s="286"/>
      <c r="V311" s="285"/>
      <c r="W311" s="427"/>
    </row>
    <row r="312" spans="1:23" x14ac:dyDescent="0.15">
      <c r="A312" s="398"/>
      <c r="B312" s="272">
        <v>298</v>
      </c>
      <c r="C312" s="278">
        <f t="shared" si="46"/>
        <v>54362</v>
      </c>
      <c r="D312" s="280">
        <f t="shared" si="47"/>
        <v>0</v>
      </c>
      <c r="E312" s="280">
        <f t="shared" si="40"/>
        <v>0</v>
      </c>
      <c r="F312" s="280">
        <f t="shared" si="41"/>
        <v>0</v>
      </c>
      <c r="G312" s="404">
        <f t="shared" si="42"/>
        <v>0</v>
      </c>
      <c r="H312" s="281"/>
      <c r="I312" s="413"/>
      <c r="J312" s="274">
        <v>298</v>
      </c>
      <c r="K312" s="428">
        <f t="shared" si="48"/>
        <v>54362</v>
      </c>
      <c r="L312" s="286">
        <f t="shared" si="49"/>
        <v>0</v>
      </c>
      <c r="M312" s="286">
        <f t="shared" si="43"/>
        <v>0</v>
      </c>
      <c r="N312" s="285">
        <f t="shared" si="44"/>
        <v>0</v>
      </c>
      <c r="O312" s="427">
        <f t="shared" si="45"/>
        <v>0</v>
      </c>
      <c r="Q312" s="413"/>
      <c r="R312" s="274"/>
      <c r="S312" s="428"/>
      <c r="T312" s="286"/>
      <c r="U312" s="286"/>
      <c r="V312" s="285"/>
      <c r="W312" s="427"/>
    </row>
    <row r="313" spans="1:23" x14ac:dyDescent="0.15">
      <c r="A313" s="398"/>
      <c r="B313" s="272">
        <v>299</v>
      </c>
      <c r="C313" s="278">
        <f t="shared" si="46"/>
        <v>54392</v>
      </c>
      <c r="D313" s="280">
        <f t="shared" si="47"/>
        <v>0</v>
      </c>
      <c r="E313" s="280">
        <f t="shared" si="40"/>
        <v>0</v>
      </c>
      <c r="F313" s="280">
        <f t="shared" si="41"/>
        <v>0</v>
      </c>
      <c r="G313" s="404">
        <f t="shared" si="42"/>
        <v>0</v>
      </c>
      <c r="H313" s="281"/>
      <c r="I313" s="413"/>
      <c r="J313" s="274">
        <v>299</v>
      </c>
      <c r="K313" s="428">
        <f t="shared" si="48"/>
        <v>54392</v>
      </c>
      <c r="L313" s="286">
        <f t="shared" si="49"/>
        <v>0</v>
      </c>
      <c r="M313" s="286">
        <f t="shared" si="43"/>
        <v>0</v>
      </c>
      <c r="N313" s="285">
        <f t="shared" si="44"/>
        <v>0</v>
      </c>
      <c r="O313" s="427">
        <f t="shared" si="45"/>
        <v>0</v>
      </c>
      <c r="Q313" s="413"/>
      <c r="R313" s="274"/>
      <c r="S313" s="428"/>
      <c r="T313" s="286"/>
      <c r="U313" s="286"/>
      <c r="V313" s="285"/>
      <c r="W313" s="427"/>
    </row>
    <row r="314" spans="1:23" x14ac:dyDescent="0.15">
      <c r="A314" s="398"/>
      <c r="B314" s="272">
        <v>300</v>
      </c>
      <c r="C314" s="278">
        <f t="shared" si="46"/>
        <v>54423</v>
      </c>
      <c r="D314" s="280">
        <f t="shared" si="47"/>
        <v>0</v>
      </c>
      <c r="E314" s="280">
        <f t="shared" si="40"/>
        <v>0</v>
      </c>
      <c r="F314" s="280">
        <f t="shared" si="41"/>
        <v>0</v>
      </c>
      <c r="G314" s="404">
        <f t="shared" si="42"/>
        <v>0</v>
      </c>
      <c r="H314" s="281"/>
      <c r="I314" s="413"/>
      <c r="J314" s="274">
        <v>300</v>
      </c>
      <c r="K314" s="428">
        <f t="shared" si="48"/>
        <v>54423</v>
      </c>
      <c r="L314" s="286">
        <f t="shared" si="49"/>
        <v>0</v>
      </c>
      <c r="M314" s="286">
        <f t="shared" si="43"/>
        <v>0</v>
      </c>
      <c r="N314" s="285">
        <f t="shared" si="44"/>
        <v>0</v>
      </c>
      <c r="O314" s="427">
        <f t="shared" si="45"/>
        <v>0</v>
      </c>
      <c r="Q314" s="413"/>
      <c r="R314" s="274"/>
      <c r="S314" s="428"/>
      <c r="T314" s="286"/>
      <c r="U314" s="286"/>
      <c r="V314" s="285"/>
      <c r="W314" s="427"/>
    </row>
    <row r="315" spans="1:23" x14ac:dyDescent="0.15">
      <c r="A315" s="398"/>
      <c r="B315" s="272">
        <v>301</v>
      </c>
      <c r="C315" s="278">
        <f t="shared" si="46"/>
        <v>54454</v>
      </c>
      <c r="D315" s="280">
        <f t="shared" si="47"/>
        <v>0</v>
      </c>
      <c r="E315" s="280">
        <f t="shared" si="40"/>
        <v>0</v>
      </c>
      <c r="F315" s="280">
        <f t="shared" si="41"/>
        <v>0</v>
      </c>
      <c r="G315" s="404">
        <f t="shared" si="42"/>
        <v>0</v>
      </c>
      <c r="H315" s="281"/>
      <c r="I315" s="413"/>
      <c r="J315" s="274">
        <v>301</v>
      </c>
      <c r="K315" s="428">
        <f t="shared" si="48"/>
        <v>54454</v>
      </c>
      <c r="L315" s="286">
        <f t="shared" si="49"/>
        <v>0</v>
      </c>
      <c r="M315" s="286">
        <f t="shared" si="43"/>
        <v>0</v>
      </c>
      <c r="N315" s="285">
        <f t="shared" si="44"/>
        <v>0</v>
      </c>
      <c r="O315" s="427">
        <f t="shared" si="45"/>
        <v>0</v>
      </c>
      <c r="Q315" s="413"/>
      <c r="R315" s="274"/>
      <c r="S315" s="428"/>
      <c r="T315" s="286"/>
      <c r="U315" s="286"/>
      <c r="V315" s="285"/>
      <c r="W315" s="427"/>
    </row>
    <row r="316" spans="1:23" x14ac:dyDescent="0.15">
      <c r="A316" s="398"/>
      <c r="B316" s="272">
        <v>302</v>
      </c>
      <c r="C316" s="278">
        <f t="shared" si="46"/>
        <v>54482</v>
      </c>
      <c r="D316" s="280">
        <f t="shared" si="47"/>
        <v>0</v>
      </c>
      <c r="E316" s="280">
        <f t="shared" si="40"/>
        <v>0</v>
      </c>
      <c r="F316" s="280">
        <f t="shared" si="41"/>
        <v>0</v>
      </c>
      <c r="G316" s="404">
        <f t="shared" si="42"/>
        <v>0</v>
      </c>
      <c r="H316" s="281"/>
      <c r="I316" s="413"/>
      <c r="J316" s="274">
        <v>302</v>
      </c>
      <c r="K316" s="428">
        <f t="shared" si="48"/>
        <v>54482</v>
      </c>
      <c r="L316" s="286">
        <f t="shared" si="49"/>
        <v>0</v>
      </c>
      <c r="M316" s="286">
        <f t="shared" si="43"/>
        <v>0</v>
      </c>
      <c r="N316" s="285">
        <f t="shared" si="44"/>
        <v>0</v>
      </c>
      <c r="O316" s="427">
        <f t="shared" si="45"/>
        <v>0</v>
      </c>
      <c r="Q316" s="413"/>
      <c r="R316" s="274"/>
      <c r="S316" s="428"/>
      <c r="T316" s="286"/>
      <c r="U316" s="286"/>
      <c r="V316" s="285"/>
      <c r="W316" s="427"/>
    </row>
    <row r="317" spans="1:23" x14ac:dyDescent="0.15">
      <c r="A317" s="398"/>
      <c r="B317" s="272">
        <v>303</v>
      </c>
      <c r="C317" s="278">
        <f t="shared" si="46"/>
        <v>54513</v>
      </c>
      <c r="D317" s="280">
        <f t="shared" si="47"/>
        <v>0</v>
      </c>
      <c r="E317" s="280">
        <f t="shared" si="40"/>
        <v>0</v>
      </c>
      <c r="F317" s="280">
        <f t="shared" si="41"/>
        <v>0</v>
      </c>
      <c r="G317" s="404">
        <f t="shared" si="42"/>
        <v>0</v>
      </c>
      <c r="H317" s="281"/>
      <c r="I317" s="413"/>
      <c r="J317" s="274">
        <v>303</v>
      </c>
      <c r="K317" s="428">
        <f t="shared" si="48"/>
        <v>54513</v>
      </c>
      <c r="L317" s="286">
        <f t="shared" si="49"/>
        <v>0</v>
      </c>
      <c r="M317" s="286">
        <f t="shared" si="43"/>
        <v>0</v>
      </c>
      <c r="N317" s="285">
        <f t="shared" si="44"/>
        <v>0</v>
      </c>
      <c r="O317" s="427">
        <f t="shared" si="45"/>
        <v>0</v>
      </c>
      <c r="Q317" s="413"/>
      <c r="R317" s="274"/>
      <c r="S317" s="428"/>
      <c r="T317" s="286"/>
      <c r="U317" s="286"/>
      <c r="V317" s="285"/>
      <c r="W317" s="427"/>
    </row>
    <row r="318" spans="1:23" x14ac:dyDescent="0.15">
      <c r="A318" s="398"/>
      <c r="B318" s="272">
        <v>304</v>
      </c>
      <c r="C318" s="278">
        <f t="shared" si="46"/>
        <v>54543</v>
      </c>
      <c r="D318" s="280">
        <f t="shared" si="47"/>
        <v>0</v>
      </c>
      <c r="E318" s="280">
        <f t="shared" si="40"/>
        <v>0</v>
      </c>
      <c r="F318" s="280">
        <f t="shared" si="41"/>
        <v>0</v>
      </c>
      <c r="G318" s="404">
        <f t="shared" si="42"/>
        <v>0</v>
      </c>
      <c r="H318" s="281"/>
      <c r="I318" s="413"/>
      <c r="J318" s="274">
        <v>304</v>
      </c>
      <c r="K318" s="428">
        <f t="shared" si="48"/>
        <v>54543</v>
      </c>
      <c r="L318" s="286">
        <f t="shared" si="49"/>
        <v>0</v>
      </c>
      <c r="M318" s="286">
        <f t="shared" si="43"/>
        <v>0</v>
      </c>
      <c r="N318" s="285">
        <f t="shared" si="44"/>
        <v>0</v>
      </c>
      <c r="O318" s="427">
        <f t="shared" si="45"/>
        <v>0</v>
      </c>
      <c r="Q318" s="413"/>
      <c r="R318" s="274"/>
      <c r="S318" s="428"/>
      <c r="T318" s="286"/>
      <c r="U318" s="286"/>
      <c r="V318" s="285"/>
      <c r="W318" s="427"/>
    </row>
    <row r="319" spans="1:23" x14ac:dyDescent="0.15">
      <c r="A319" s="398"/>
      <c r="B319" s="272">
        <v>305</v>
      </c>
      <c r="C319" s="278">
        <f t="shared" si="46"/>
        <v>54574</v>
      </c>
      <c r="D319" s="280">
        <f t="shared" si="47"/>
        <v>0</v>
      </c>
      <c r="E319" s="280">
        <f t="shared" si="40"/>
        <v>0</v>
      </c>
      <c r="F319" s="280">
        <f t="shared" si="41"/>
        <v>0</v>
      </c>
      <c r="G319" s="404">
        <f t="shared" si="42"/>
        <v>0</v>
      </c>
      <c r="H319" s="281"/>
      <c r="I319" s="413"/>
      <c r="J319" s="274">
        <v>305</v>
      </c>
      <c r="K319" s="428">
        <f t="shared" si="48"/>
        <v>54574</v>
      </c>
      <c r="L319" s="286">
        <f t="shared" si="49"/>
        <v>0</v>
      </c>
      <c r="M319" s="286">
        <f t="shared" si="43"/>
        <v>0</v>
      </c>
      <c r="N319" s="285">
        <f t="shared" si="44"/>
        <v>0</v>
      </c>
      <c r="O319" s="427">
        <f t="shared" si="45"/>
        <v>0</v>
      </c>
      <c r="Q319" s="413"/>
      <c r="R319" s="274"/>
      <c r="S319" s="428"/>
      <c r="T319" s="286"/>
      <c r="U319" s="286"/>
      <c r="V319" s="285"/>
      <c r="W319" s="427"/>
    </row>
    <row r="320" spans="1:23" x14ac:dyDescent="0.15">
      <c r="A320" s="398"/>
      <c r="B320" s="272">
        <v>306</v>
      </c>
      <c r="C320" s="278">
        <f t="shared" si="46"/>
        <v>54604</v>
      </c>
      <c r="D320" s="280">
        <f t="shared" si="47"/>
        <v>0</v>
      </c>
      <c r="E320" s="280">
        <f t="shared" si="40"/>
        <v>0</v>
      </c>
      <c r="F320" s="280">
        <f t="shared" si="41"/>
        <v>0</v>
      </c>
      <c r="G320" s="404">
        <f t="shared" si="42"/>
        <v>0</v>
      </c>
      <c r="H320" s="281"/>
      <c r="I320" s="413"/>
      <c r="J320" s="274">
        <v>306</v>
      </c>
      <c r="K320" s="428">
        <f t="shared" si="48"/>
        <v>54604</v>
      </c>
      <c r="L320" s="286">
        <f t="shared" si="49"/>
        <v>0</v>
      </c>
      <c r="M320" s="286">
        <f t="shared" si="43"/>
        <v>0</v>
      </c>
      <c r="N320" s="285">
        <f t="shared" si="44"/>
        <v>0</v>
      </c>
      <c r="O320" s="427">
        <f t="shared" si="45"/>
        <v>0</v>
      </c>
      <c r="Q320" s="413"/>
      <c r="R320" s="274"/>
      <c r="S320" s="428"/>
      <c r="T320" s="286"/>
      <c r="U320" s="286"/>
      <c r="V320" s="285"/>
      <c r="W320" s="427"/>
    </row>
    <row r="321" spans="1:23" x14ac:dyDescent="0.15">
      <c r="A321" s="398"/>
      <c r="B321" s="272">
        <v>307</v>
      </c>
      <c r="C321" s="278">
        <f t="shared" si="46"/>
        <v>54635</v>
      </c>
      <c r="D321" s="280">
        <f t="shared" si="47"/>
        <v>0</v>
      </c>
      <c r="E321" s="280">
        <f t="shared" si="40"/>
        <v>0</v>
      </c>
      <c r="F321" s="280">
        <f t="shared" si="41"/>
        <v>0</v>
      </c>
      <c r="G321" s="404">
        <f t="shared" si="42"/>
        <v>0</v>
      </c>
      <c r="H321" s="281"/>
      <c r="I321" s="413"/>
      <c r="J321" s="274">
        <v>307</v>
      </c>
      <c r="K321" s="428">
        <f t="shared" si="48"/>
        <v>54635</v>
      </c>
      <c r="L321" s="286">
        <f t="shared" si="49"/>
        <v>0</v>
      </c>
      <c r="M321" s="286">
        <f t="shared" si="43"/>
        <v>0</v>
      </c>
      <c r="N321" s="285">
        <f t="shared" si="44"/>
        <v>0</v>
      </c>
      <c r="O321" s="427">
        <f t="shared" si="45"/>
        <v>0</v>
      </c>
      <c r="Q321" s="413"/>
      <c r="R321" s="274"/>
      <c r="S321" s="428"/>
      <c r="T321" s="286"/>
      <c r="U321" s="286"/>
      <c r="V321" s="285"/>
      <c r="W321" s="427"/>
    </row>
    <row r="322" spans="1:23" x14ac:dyDescent="0.15">
      <c r="A322" s="398"/>
      <c r="B322" s="272">
        <v>308</v>
      </c>
      <c r="C322" s="278">
        <f t="shared" si="46"/>
        <v>54666</v>
      </c>
      <c r="D322" s="280">
        <f t="shared" si="47"/>
        <v>0</v>
      </c>
      <c r="E322" s="280">
        <f t="shared" si="40"/>
        <v>0</v>
      </c>
      <c r="F322" s="280">
        <f t="shared" si="41"/>
        <v>0</v>
      </c>
      <c r="G322" s="404">
        <f t="shared" si="42"/>
        <v>0</v>
      </c>
      <c r="H322" s="281"/>
      <c r="I322" s="413"/>
      <c r="J322" s="274">
        <v>308</v>
      </c>
      <c r="K322" s="428">
        <f t="shared" si="48"/>
        <v>54666</v>
      </c>
      <c r="L322" s="286">
        <f t="shared" si="49"/>
        <v>0</v>
      </c>
      <c r="M322" s="286">
        <f t="shared" si="43"/>
        <v>0</v>
      </c>
      <c r="N322" s="285">
        <f t="shared" si="44"/>
        <v>0</v>
      </c>
      <c r="O322" s="427">
        <f t="shared" si="45"/>
        <v>0</v>
      </c>
      <c r="Q322" s="413"/>
      <c r="R322" s="274"/>
      <c r="S322" s="428"/>
      <c r="T322" s="286"/>
      <c r="U322" s="286"/>
      <c r="V322" s="285"/>
      <c r="W322" s="427"/>
    </row>
    <row r="323" spans="1:23" x14ac:dyDescent="0.15">
      <c r="A323" s="398"/>
      <c r="B323" s="272">
        <v>309</v>
      </c>
      <c r="C323" s="278">
        <f t="shared" si="46"/>
        <v>54696</v>
      </c>
      <c r="D323" s="280">
        <f t="shared" si="47"/>
        <v>0</v>
      </c>
      <c r="E323" s="280">
        <f t="shared" si="40"/>
        <v>0</v>
      </c>
      <c r="F323" s="280">
        <f t="shared" si="41"/>
        <v>0</v>
      </c>
      <c r="G323" s="404">
        <f t="shared" si="42"/>
        <v>0</v>
      </c>
      <c r="H323" s="281"/>
      <c r="I323" s="413"/>
      <c r="J323" s="274">
        <v>309</v>
      </c>
      <c r="K323" s="428">
        <f t="shared" si="48"/>
        <v>54696</v>
      </c>
      <c r="L323" s="286">
        <f t="shared" si="49"/>
        <v>0</v>
      </c>
      <c r="M323" s="286">
        <f t="shared" si="43"/>
        <v>0</v>
      </c>
      <c r="N323" s="285">
        <f t="shared" si="44"/>
        <v>0</v>
      </c>
      <c r="O323" s="427">
        <f t="shared" si="45"/>
        <v>0</v>
      </c>
      <c r="Q323" s="413"/>
      <c r="R323" s="274"/>
      <c r="S323" s="428"/>
      <c r="T323" s="286"/>
      <c r="U323" s="286"/>
      <c r="V323" s="285"/>
      <c r="W323" s="427"/>
    </row>
    <row r="324" spans="1:23" x14ac:dyDescent="0.15">
      <c r="A324" s="398"/>
      <c r="B324" s="272">
        <v>310</v>
      </c>
      <c r="C324" s="278">
        <f t="shared" si="46"/>
        <v>54727</v>
      </c>
      <c r="D324" s="280">
        <f t="shared" si="47"/>
        <v>0</v>
      </c>
      <c r="E324" s="280">
        <f t="shared" si="40"/>
        <v>0</v>
      </c>
      <c r="F324" s="280">
        <f t="shared" si="41"/>
        <v>0</v>
      </c>
      <c r="G324" s="404">
        <f t="shared" si="42"/>
        <v>0</v>
      </c>
      <c r="H324" s="281"/>
      <c r="I324" s="413"/>
      <c r="J324" s="274">
        <v>310</v>
      </c>
      <c r="K324" s="428">
        <f t="shared" si="48"/>
        <v>54727</v>
      </c>
      <c r="L324" s="286">
        <f t="shared" si="49"/>
        <v>0</v>
      </c>
      <c r="M324" s="286">
        <f t="shared" si="43"/>
        <v>0</v>
      </c>
      <c r="N324" s="285">
        <f t="shared" si="44"/>
        <v>0</v>
      </c>
      <c r="O324" s="427">
        <f t="shared" si="45"/>
        <v>0</v>
      </c>
      <c r="Q324" s="413"/>
      <c r="R324" s="274"/>
      <c r="S324" s="428"/>
      <c r="T324" s="286"/>
      <c r="U324" s="286"/>
      <c r="V324" s="285"/>
      <c r="W324" s="427"/>
    </row>
    <row r="325" spans="1:23" x14ac:dyDescent="0.15">
      <c r="A325" s="398"/>
      <c r="B325" s="272">
        <v>311</v>
      </c>
      <c r="C325" s="278">
        <f t="shared" si="46"/>
        <v>54757</v>
      </c>
      <c r="D325" s="280">
        <f t="shared" si="47"/>
        <v>0</v>
      </c>
      <c r="E325" s="280">
        <f t="shared" si="40"/>
        <v>0</v>
      </c>
      <c r="F325" s="280">
        <f t="shared" si="41"/>
        <v>0</v>
      </c>
      <c r="G325" s="404">
        <f t="shared" si="42"/>
        <v>0</v>
      </c>
      <c r="H325" s="281"/>
      <c r="I325" s="413"/>
      <c r="J325" s="274">
        <v>311</v>
      </c>
      <c r="K325" s="428">
        <f t="shared" si="48"/>
        <v>54757</v>
      </c>
      <c r="L325" s="286">
        <f t="shared" si="49"/>
        <v>0</v>
      </c>
      <c r="M325" s="286">
        <f t="shared" si="43"/>
        <v>0</v>
      </c>
      <c r="N325" s="285">
        <f t="shared" si="44"/>
        <v>0</v>
      </c>
      <c r="O325" s="427">
        <f t="shared" si="45"/>
        <v>0</v>
      </c>
      <c r="Q325" s="413"/>
      <c r="R325" s="274"/>
      <c r="S325" s="428"/>
      <c r="T325" s="286"/>
      <c r="U325" s="286"/>
      <c r="V325" s="285"/>
      <c r="W325" s="427"/>
    </row>
    <row r="326" spans="1:23" x14ac:dyDescent="0.15">
      <c r="A326" s="398"/>
      <c r="B326" s="272">
        <v>312</v>
      </c>
      <c r="C326" s="278">
        <f t="shared" si="46"/>
        <v>54788</v>
      </c>
      <c r="D326" s="280">
        <f t="shared" si="47"/>
        <v>0</v>
      </c>
      <c r="E326" s="280">
        <f t="shared" si="40"/>
        <v>0</v>
      </c>
      <c r="F326" s="280">
        <f t="shared" si="41"/>
        <v>0</v>
      </c>
      <c r="G326" s="404">
        <f t="shared" si="42"/>
        <v>0</v>
      </c>
      <c r="H326" s="281"/>
      <c r="I326" s="413"/>
      <c r="J326" s="274">
        <v>312</v>
      </c>
      <c r="K326" s="428">
        <f t="shared" si="48"/>
        <v>54788</v>
      </c>
      <c r="L326" s="286">
        <f t="shared" si="49"/>
        <v>0</v>
      </c>
      <c r="M326" s="286">
        <f t="shared" si="43"/>
        <v>0</v>
      </c>
      <c r="N326" s="285">
        <f t="shared" si="44"/>
        <v>0</v>
      </c>
      <c r="O326" s="427">
        <f t="shared" si="45"/>
        <v>0</v>
      </c>
      <c r="Q326" s="413"/>
      <c r="R326" s="274"/>
      <c r="S326" s="428"/>
      <c r="T326" s="286"/>
      <c r="U326" s="286"/>
      <c r="V326" s="285"/>
      <c r="W326" s="427"/>
    </row>
    <row r="327" spans="1:23" x14ac:dyDescent="0.15">
      <c r="A327" s="398"/>
      <c r="B327" s="272">
        <v>313</v>
      </c>
      <c r="C327" s="278">
        <f t="shared" si="46"/>
        <v>54819</v>
      </c>
      <c r="D327" s="280">
        <f t="shared" si="47"/>
        <v>0</v>
      </c>
      <c r="E327" s="280">
        <f t="shared" si="40"/>
        <v>0</v>
      </c>
      <c r="F327" s="280">
        <f t="shared" si="41"/>
        <v>0</v>
      </c>
      <c r="G327" s="404">
        <f t="shared" si="42"/>
        <v>0</v>
      </c>
      <c r="H327" s="281"/>
      <c r="I327" s="413"/>
      <c r="J327" s="274">
        <v>313</v>
      </c>
      <c r="K327" s="428">
        <f t="shared" si="48"/>
        <v>54819</v>
      </c>
      <c r="L327" s="286">
        <f t="shared" si="49"/>
        <v>0</v>
      </c>
      <c r="M327" s="286">
        <f t="shared" si="43"/>
        <v>0</v>
      </c>
      <c r="N327" s="285">
        <f t="shared" si="44"/>
        <v>0</v>
      </c>
      <c r="O327" s="427">
        <f t="shared" si="45"/>
        <v>0</v>
      </c>
      <c r="Q327" s="413"/>
      <c r="R327" s="274"/>
      <c r="S327" s="428"/>
      <c r="T327" s="286"/>
      <c r="U327" s="286"/>
      <c r="V327" s="285"/>
      <c r="W327" s="427"/>
    </row>
    <row r="328" spans="1:23" x14ac:dyDescent="0.15">
      <c r="A328" s="398"/>
      <c r="B328" s="272">
        <v>314</v>
      </c>
      <c r="C328" s="278">
        <f t="shared" si="46"/>
        <v>54847</v>
      </c>
      <c r="D328" s="280">
        <f t="shared" si="47"/>
        <v>0</v>
      </c>
      <c r="E328" s="280">
        <f t="shared" si="40"/>
        <v>0</v>
      </c>
      <c r="F328" s="280">
        <f t="shared" si="41"/>
        <v>0</v>
      </c>
      <c r="G328" s="404">
        <f t="shared" si="42"/>
        <v>0</v>
      </c>
      <c r="H328" s="281"/>
      <c r="I328" s="413"/>
      <c r="J328" s="274">
        <v>314</v>
      </c>
      <c r="K328" s="428">
        <f t="shared" si="48"/>
        <v>54847</v>
      </c>
      <c r="L328" s="286">
        <f t="shared" si="49"/>
        <v>0</v>
      </c>
      <c r="M328" s="286">
        <f t="shared" si="43"/>
        <v>0</v>
      </c>
      <c r="N328" s="285">
        <f t="shared" si="44"/>
        <v>0</v>
      </c>
      <c r="O328" s="427">
        <f t="shared" si="45"/>
        <v>0</v>
      </c>
      <c r="Q328" s="413"/>
      <c r="R328" s="274"/>
      <c r="S328" s="428"/>
      <c r="T328" s="286"/>
      <c r="U328" s="286"/>
      <c r="V328" s="285"/>
      <c r="W328" s="427"/>
    </row>
    <row r="329" spans="1:23" x14ac:dyDescent="0.15">
      <c r="A329" s="398"/>
      <c r="B329" s="272">
        <v>315</v>
      </c>
      <c r="C329" s="278">
        <f t="shared" si="46"/>
        <v>54878</v>
      </c>
      <c r="D329" s="280">
        <f t="shared" si="47"/>
        <v>0</v>
      </c>
      <c r="E329" s="280">
        <f t="shared" si="40"/>
        <v>0</v>
      </c>
      <c r="F329" s="280">
        <f t="shared" si="41"/>
        <v>0</v>
      </c>
      <c r="G329" s="404">
        <f t="shared" si="42"/>
        <v>0</v>
      </c>
      <c r="H329" s="281"/>
      <c r="I329" s="413"/>
      <c r="J329" s="274">
        <v>315</v>
      </c>
      <c r="K329" s="428">
        <f t="shared" si="48"/>
        <v>54878</v>
      </c>
      <c r="L329" s="286">
        <f t="shared" si="49"/>
        <v>0</v>
      </c>
      <c r="M329" s="286">
        <f t="shared" si="43"/>
        <v>0</v>
      </c>
      <c r="N329" s="285">
        <f t="shared" si="44"/>
        <v>0</v>
      </c>
      <c r="O329" s="427">
        <f t="shared" si="45"/>
        <v>0</v>
      </c>
      <c r="Q329" s="413"/>
      <c r="R329" s="274"/>
      <c r="S329" s="428"/>
      <c r="T329" s="286"/>
      <c r="U329" s="286"/>
      <c r="V329" s="285"/>
      <c r="W329" s="427"/>
    </row>
    <row r="330" spans="1:23" x14ac:dyDescent="0.15">
      <c r="A330" s="398"/>
      <c r="B330" s="272">
        <v>316</v>
      </c>
      <c r="C330" s="278">
        <f t="shared" si="46"/>
        <v>54908</v>
      </c>
      <c r="D330" s="280">
        <f t="shared" si="47"/>
        <v>0</v>
      </c>
      <c r="E330" s="280">
        <f t="shared" si="40"/>
        <v>0</v>
      </c>
      <c r="F330" s="280">
        <f t="shared" si="41"/>
        <v>0</v>
      </c>
      <c r="G330" s="404">
        <f t="shared" si="42"/>
        <v>0</v>
      </c>
      <c r="H330" s="281"/>
      <c r="I330" s="413"/>
      <c r="J330" s="274">
        <v>316</v>
      </c>
      <c r="K330" s="428">
        <f t="shared" si="48"/>
        <v>54908</v>
      </c>
      <c r="L330" s="286">
        <f t="shared" si="49"/>
        <v>0</v>
      </c>
      <c r="M330" s="286">
        <f t="shared" si="43"/>
        <v>0</v>
      </c>
      <c r="N330" s="285">
        <f t="shared" si="44"/>
        <v>0</v>
      </c>
      <c r="O330" s="427">
        <f t="shared" si="45"/>
        <v>0</v>
      </c>
      <c r="Q330" s="413"/>
      <c r="R330" s="274"/>
      <c r="S330" s="428"/>
      <c r="T330" s="286"/>
      <c r="U330" s="286"/>
      <c r="V330" s="285"/>
      <c r="W330" s="427"/>
    </row>
    <row r="331" spans="1:23" x14ac:dyDescent="0.15">
      <c r="A331" s="398"/>
      <c r="B331" s="272">
        <v>317</v>
      </c>
      <c r="C331" s="278">
        <f t="shared" si="46"/>
        <v>54939</v>
      </c>
      <c r="D331" s="280">
        <f t="shared" si="47"/>
        <v>0</v>
      </c>
      <c r="E331" s="280">
        <f t="shared" si="40"/>
        <v>0</v>
      </c>
      <c r="F331" s="280">
        <f t="shared" si="41"/>
        <v>0</v>
      </c>
      <c r="G331" s="404">
        <f t="shared" si="42"/>
        <v>0</v>
      </c>
      <c r="H331" s="281"/>
      <c r="I331" s="413"/>
      <c r="J331" s="274">
        <v>317</v>
      </c>
      <c r="K331" s="428">
        <f t="shared" si="48"/>
        <v>54939</v>
      </c>
      <c r="L331" s="286">
        <f t="shared" si="49"/>
        <v>0</v>
      </c>
      <c r="M331" s="286">
        <f t="shared" si="43"/>
        <v>0</v>
      </c>
      <c r="N331" s="285">
        <f t="shared" si="44"/>
        <v>0</v>
      </c>
      <c r="O331" s="427">
        <f t="shared" si="45"/>
        <v>0</v>
      </c>
      <c r="Q331" s="413"/>
      <c r="R331" s="274"/>
      <c r="S331" s="428"/>
      <c r="T331" s="286"/>
      <c r="U331" s="286"/>
      <c r="V331" s="285"/>
      <c r="W331" s="427"/>
    </row>
    <row r="332" spans="1:23" x14ac:dyDescent="0.15">
      <c r="A332" s="398"/>
      <c r="B332" s="272">
        <v>318</v>
      </c>
      <c r="C332" s="278">
        <f t="shared" si="46"/>
        <v>54969</v>
      </c>
      <c r="D332" s="280">
        <f t="shared" si="47"/>
        <v>0</v>
      </c>
      <c r="E332" s="280">
        <f t="shared" si="40"/>
        <v>0</v>
      </c>
      <c r="F332" s="280">
        <f t="shared" si="41"/>
        <v>0</v>
      </c>
      <c r="G332" s="404">
        <f t="shared" si="42"/>
        <v>0</v>
      </c>
      <c r="H332" s="281"/>
      <c r="I332" s="413"/>
      <c r="J332" s="274">
        <v>318</v>
      </c>
      <c r="K332" s="428">
        <f t="shared" si="48"/>
        <v>54969</v>
      </c>
      <c r="L332" s="286">
        <f t="shared" si="49"/>
        <v>0</v>
      </c>
      <c r="M332" s="286">
        <f t="shared" si="43"/>
        <v>0</v>
      </c>
      <c r="N332" s="285">
        <f t="shared" si="44"/>
        <v>0</v>
      </c>
      <c r="O332" s="427">
        <f t="shared" si="45"/>
        <v>0</v>
      </c>
      <c r="Q332" s="413"/>
      <c r="R332" s="274"/>
      <c r="S332" s="428"/>
      <c r="T332" s="286"/>
      <c r="U332" s="286"/>
      <c r="V332" s="285"/>
      <c r="W332" s="427"/>
    </row>
    <row r="333" spans="1:23" x14ac:dyDescent="0.15">
      <c r="A333" s="398"/>
      <c r="B333" s="272">
        <v>319</v>
      </c>
      <c r="C333" s="278">
        <f t="shared" si="46"/>
        <v>55000</v>
      </c>
      <c r="D333" s="280">
        <f t="shared" si="47"/>
        <v>0</v>
      </c>
      <c r="E333" s="280">
        <f t="shared" si="40"/>
        <v>0</v>
      </c>
      <c r="F333" s="280">
        <f t="shared" si="41"/>
        <v>0</v>
      </c>
      <c r="G333" s="404">
        <f t="shared" si="42"/>
        <v>0</v>
      </c>
      <c r="H333" s="281"/>
      <c r="I333" s="413"/>
      <c r="J333" s="274">
        <v>319</v>
      </c>
      <c r="K333" s="428">
        <f t="shared" si="48"/>
        <v>55000</v>
      </c>
      <c r="L333" s="286">
        <f t="shared" si="49"/>
        <v>0</v>
      </c>
      <c r="M333" s="286">
        <f t="shared" si="43"/>
        <v>0</v>
      </c>
      <c r="N333" s="285">
        <f t="shared" si="44"/>
        <v>0</v>
      </c>
      <c r="O333" s="427">
        <f t="shared" si="45"/>
        <v>0</v>
      </c>
      <c r="Q333" s="413"/>
      <c r="R333" s="274"/>
      <c r="S333" s="428"/>
      <c r="T333" s="286"/>
      <c r="U333" s="286"/>
      <c r="V333" s="285"/>
      <c r="W333" s="427"/>
    </row>
    <row r="334" spans="1:23" x14ac:dyDescent="0.15">
      <c r="A334" s="398"/>
      <c r="B334" s="272">
        <v>320</v>
      </c>
      <c r="C334" s="278">
        <f t="shared" si="46"/>
        <v>55031</v>
      </c>
      <c r="D334" s="280">
        <f t="shared" si="47"/>
        <v>0</v>
      </c>
      <c r="E334" s="280">
        <f t="shared" si="40"/>
        <v>0</v>
      </c>
      <c r="F334" s="280">
        <f t="shared" si="41"/>
        <v>0</v>
      </c>
      <c r="G334" s="404">
        <f t="shared" si="42"/>
        <v>0</v>
      </c>
      <c r="H334" s="281"/>
      <c r="I334" s="413"/>
      <c r="J334" s="274">
        <v>320</v>
      </c>
      <c r="K334" s="428">
        <f t="shared" si="48"/>
        <v>55031</v>
      </c>
      <c r="L334" s="286">
        <f t="shared" si="49"/>
        <v>0</v>
      </c>
      <c r="M334" s="286">
        <f t="shared" si="43"/>
        <v>0</v>
      </c>
      <c r="N334" s="285">
        <f t="shared" si="44"/>
        <v>0</v>
      </c>
      <c r="O334" s="427">
        <f t="shared" si="45"/>
        <v>0</v>
      </c>
      <c r="Q334" s="413"/>
      <c r="R334" s="274"/>
      <c r="S334" s="428"/>
      <c r="T334" s="286"/>
      <c r="U334" s="286"/>
      <c r="V334" s="285"/>
      <c r="W334" s="427"/>
    </row>
    <row r="335" spans="1:23" x14ac:dyDescent="0.15">
      <c r="A335" s="398"/>
      <c r="B335" s="272">
        <v>321</v>
      </c>
      <c r="C335" s="278">
        <f t="shared" si="46"/>
        <v>55061</v>
      </c>
      <c r="D335" s="280">
        <f t="shared" si="47"/>
        <v>0</v>
      </c>
      <c r="E335" s="280">
        <f t="shared" si="40"/>
        <v>0</v>
      </c>
      <c r="F335" s="280">
        <f t="shared" si="41"/>
        <v>0</v>
      </c>
      <c r="G335" s="404">
        <f t="shared" si="42"/>
        <v>0</v>
      </c>
      <c r="H335" s="281"/>
      <c r="I335" s="413"/>
      <c r="J335" s="274">
        <v>321</v>
      </c>
      <c r="K335" s="428">
        <f t="shared" si="48"/>
        <v>55061</v>
      </c>
      <c r="L335" s="286">
        <f t="shared" si="49"/>
        <v>0</v>
      </c>
      <c r="M335" s="286">
        <f t="shared" si="43"/>
        <v>0</v>
      </c>
      <c r="N335" s="285">
        <f t="shared" si="44"/>
        <v>0</v>
      </c>
      <c r="O335" s="427">
        <f t="shared" si="45"/>
        <v>0</v>
      </c>
      <c r="Q335" s="413"/>
      <c r="R335" s="274"/>
      <c r="S335" s="428"/>
      <c r="T335" s="286"/>
      <c r="U335" s="286"/>
      <c r="V335" s="285"/>
      <c r="W335" s="427"/>
    </row>
    <row r="336" spans="1:23" x14ac:dyDescent="0.15">
      <c r="A336" s="398"/>
      <c r="B336" s="272">
        <v>322</v>
      </c>
      <c r="C336" s="278">
        <f t="shared" si="46"/>
        <v>55092</v>
      </c>
      <c r="D336" s="280">
        <f t="shared" si="47"/>
        <v>0</v>
      </c>
      <c r="E336" s="280">
        <f t="shared" ref="E336:E374" si="50">(D336*$F$9)/12</f>
        <v>0</v>
      </c>
      <c r="F336" s="280">
        <f t="shared" ref="F336:F374" si="51">IF($F$10=0,0,IF(B336&gt;$F$6,0,-$F$11-E336))</f>
        <v>0</v>
      </c>
      <c r="G336" s="404">
        <f t="shared" ref="G336:G374" si="52">IF(B336&gt;$F$6,0,D336-F336)</f>
        <v>0</v>
      </c>
      <c r="H336" s="281"/>
      <c r="I336" s="413"/>
      <c r="J336" s="274">
        <v>322</v>
      </c>
      <c r="K336" s="428">
        <f t="shared" si="48"/>
        <v>55092</v>
      </c>
      <c r="L336" s="286">
        <f t="shared" si="49"/>
        <v>0</v>
      </c>
      <c r="M336" s="286">
        <f t="shared" ref="M336:M374" si="53">IF(K336&gt;$N$7,0,(L336*$N$9)/12)</f>
        <v>0</v>
      </c>
      <c r="N336" s="285">
        <f t="shared" ref="N336:N374" si="54">IF(K336&gt;$N$7,0,-$N$11-M336)</f>
        <v>0</v>
      </c>
      <c r="O336" s="427">
        <f t="shared" ref="O336:O374" si="55">IF(J336&gt;$N$6,0,L336-N336)</f>
        <v>0</v>
      </c>
      <c r="Q336" s="413"/>
      <c r="R336" s="274"/>
      <c r="S336" s="428"/>
      <c r="T336" s="286"/>
      <c r="U336" s="286"/>
      <c r="V336" s="285"/>
      <c r="W336" s="427"/>
    </row>
    <row r="337" spans="1:23" x14ac:dyDescent="0.15">
      <c r="A337" s="398"/>
      <c r="B337" s="272">
        <v>323</v>
      </c>
      <c r="C337" s="278">
        <f t="shared" ref="C337:C374" si="56">EOMONTH(C336,1)</f>
        <v>55122</v>
      </c>
      <c r="D337" s="280">
        <f t="shared" ref="D337:D374" si="57">IF(B337&gt;$F$6,0,G336)</f>
        <v>0</v>
      </c>
      <c r="E337" s="280">
        <f t="shared" si="50"/>
        <v>0</v>
      </c>
      <c r="F337" s="280">
        <f t="shared" si="51"/>
        <v>0</v>
      </c>
      <c r="G337" s="404">
        <f t="shared" si="52"/>
        <v>0</v>
      </c>
      <c r="H337" s="281"/>
      <c r="I337" s="413"/>
      <c r="J337" s="274">
        <v>323</v>
      </c>
      <c r="K337" s="428">
        <f t="shared" ref="K337:K374" si="58">EDATE(K336+1,1)-1</f>
        <v>55122</v>
      </c>
      <c r="L337" s="286">
        <f t="shared" ref="L337:L374" si="59">IF(J337&gt;$N$6,0,O336)</f>
        <v>0</v>
      </c>
      <c r="M337" s="286">
        <f t="shared" si="53"/>
        <v>0</v>
      </c>
      <c r="N337" s="285">
        <f t="shared" si="54"/>
        <v>0</v>
      </c>
      <c r="O337" s="427">
        <f t="shared" si="55"/>
        <v>0</v>
      </c>
      <c r="Q337" s="413"/>
      <c r="R337" s="274"/>
      <c r="S337" s="428"/>
      <c r="T337" s="286"/>
      <c r="U337" s="286"/>
      <c r="V337" s="285"/>
      <c r="W337" s="427"/>
    </row>
    <row r="338" spans="1:23" x14ac:dyDescent="0.15">
      <c r="A338" s="398"/>
      <c r="B338" s="272">
        <v>324</v>
      </c>
      <c r="C338" s="278">
        <f t="shared" si="56"/>
        <v>55153</v>
      </c>
      <c r="D338" s="280">
        <f t="shared" si="57"/>
        <v>0</v>
      </c>
      <c r="E338" s="280">
        <f t="shared" si="50"/>
        <v>0</v>
      </c>
      <c r="F338" s="280">
        <f t="shared" si="51"/>
        <v>0</v>
      </c>
      <c r="G338" s="404">
        <f t="shared" si="52"/>
        <v>0</v>
      </c>
      <c r="H338" s="281"/>
      <c r="I338" s="413"/>
      <c r="J338" s="274">
        <v>324</v>
      </c>
      <c r="K338" s="428">
        <f t="shared" si="58"/>
        <v>55153</v>
      </c>
      <c r="L338" s="286">
        <f t="shared" si="59"/>
        <v>0</v>
      </c>
      <c r="M338" s="286">
        <f t="shared" si="53"/>
        <v>0</v>
      </c>
      <c r="N338" s="285">
        <f t="shared" si="54"/>
        <v>0</v>
      </c>
      <c r="O338" s="427">
        <f t="shared" si="55"/>
        <v>0</v>
      </c>
      <c r="Q338" s="413"/>
      <c r="R338" s="274"/>
      <c r="S338" s="428"/>
      <c r="T338" s="286"/>
      <c r="U338" s="286"/>
      <c r="V338" s="285"/>
      <c r="W338" s="427"/>
    </row>
    <row r="339" spans="1:23" x14ac:dyDescent="0.15">
      <c r="A339" s="398"/>
      <c r="B339" s="272">
        <v>325</v>
      </c>
      <c r="C339" s="278">
        <f t="shared" si="56"/>
        <v>55184</v>
      </c>
      <c r="D339" s="280">
        <f t="shared" si="57"/>
        <v>0</v>
      </c>
      <c r="E339" s="280">
        <f t="shared" si="50"/>
        <v>0</v>
      </c>
      <c r="F339" s="280">
        <f t="shared" si="51"/>
        <v>0</v>
      </c>
      <c r="G339" s="404">
        <f t="shared" si="52"/>
        <v>0</v>
      </c>
      <c r="H339" s="281"/>
      <c r="I339" s="413"/>
      <c r="J339" s="274">
        <v>325</v>
      </c>
      <c r="K339" s="428">
        <f t="shared" si="58"/>
        <v>55184</v>
      </c>
      <c r="L339" s="286">
        <f t="shared" si="59"/>
        <v>0</v>
      </c>
      <c r="M339" s="286">
        <f t="shared" si="53"/>
        <v>0</v>
      </c>
      <c r="N339" s="285">
        <f t="shared" si="54"/>
        <v>0</v>
      </c>
      <c r="O339" s="427">
        <f t="shared" si="55"/>
        <v>0</v>
      </c>
      <c r="Q339" s="413"/>
      <c r="R339" s="274"/>
      <c r="S339" s="428"/>
      <c r="T339" s="286"/>
      <c r="U339" s="286"/>
      <c r="V339" s="285"/>
      <c r="W339" s="427"/>
    </row>
    <row r="340" spans="1:23" x14ac:dyDescent="0.15">
      <c r="A340" s="398"/>
      <c r="B340" s="272">
        <v>326</v>
      </c>
      <c r="C340" s="278">
        <f t="shared" si="56"/>
        <v>55212</v>
      </c>
      <c r="D340" s="280">
        <f t="shared" si="57"/>
        <v>0</v>
      </c>
      <c r="E340" s="280">
        <f t="shared" si="50"/>
        <v>0</v>
      </c>
      <c r="F340" s="280">
        <f t="shared" si="51"/>
        <v>0</v>
      </c>
      <c r="G340" s="404">
        <f t="shared" si="52"/>
        <v>0</v>
      </c>
      <c r="H340" s="281"/>
      <c r="I340" s="413"/>
      <c r="J340" s="274">
        <v>326</v>
      </c>
      <c r="K340" s="428">
        <f t="shared" si="58"/>
        <v>55212</v>
      </c>
      <c r="L340" s="286">
        <f t="shared" si="59"/>
        <v>0</v>
      </c>
      <c r="M340" s="286">
        <f t="shared" si="53"/>
        <v>0</v>
      </c>
      <c r="N340" s="285">
        <f t="shared" si="54"/>
        <v>0</v>
      </c>
      <c r="O340" s="427">
        <f t="shared" si="55"/>
        <v>0</v>
      </c>
      <c r="Q340" s="413"/>
      <c r="R340" s="274"/>
      <c r="S340" s="428"/>
      <c r="T340" s="286"/>
      <c r="U340" s="286"/>
      <c r="V340" s="285"/>
      <c r="W340" s="427"/>
    </row>
    <row r="341" spans="1:23" x14ac:dyDescent="0.15">
      <c r="A341" s="398"/>
      <c r="B341" s="272">
        <v>327</v>
      </c>
      <c r="C341" s="278">
        <f t="shared" si="56"/>
        <v>55243</v>
      </c>
      <c r="D341" s="280">
        <f t="shared" si="57"/>
        <v>0</v>
      </c>
      <c r="E341" s="280">
        <f t="shared" si="50"/>
        <v>0</v>
      </c>
      <c r="F341" s="280">
        <f t="shared" si="51"/>
        <v>0</v>
      </c>
      <c r="G341" s="404">
        <f t="shared" si="52"/>
        <v>0</v>
      </c>
      <c r="H341" s="281"/>
      <c r="I341" s="413"/>
      <c r="J341" s="274">
        <v>327</v>
      </c>
      <c r="K341" s="428">
        <f t="shared" si="58"/>
        <v>55243</v>
      </c>
      <c r="L341" s="286">
        <f t="shared" si="59"/>
        <v>0</v>
      </c>
      <c r="M341" s="286">
        <f t="shared" si="53"/>
        <v>0</v>
      </c>
      <c r="N341" s="285">
        <f t="shared" si="54"/>
        <v>0</v>
      </c>
      <c r="O341" s="427">
        <f t="shared" si="55"/>
        <v>0</v>
      </c>
      <c r="Q341" s="413"/>
      <c r="R341" s="274"/>
      <c r="S341" s="428"/>
      <c r="T341" s="286"/>
      <c r="U341" s="286"/>
      <c r="V341" s="285"/>
      <c r="W341" s="427"/>
    </row>
    <row r="342" spans="1:23" x14ac:dyDescent="0.15">
      <c r="A342" s="398"/>
      <c r="B342" s="272">
        <v>328</v>
      </c>
      <c r="C342" s="278">
        <f t="shared" si="56"/>
        <v>55273</v>
      </c>
      <c r="D342" s="280">
        <f t="shared" si="57"/>
        <v>0</v>
      </c>
      <c r="E342" s="280">
        <f t="shared" si="50"/>
        <v>0</v>
      </c>
      <c r="F342" s="280">
        <f t="shared" si="51"/>
        <v>0</v>
      </c>
      <c r="G342" s="404">
        <f t="shared" si="52"/>
        <v>0</v>
      </c>
      <c r="H342" s="281"/>
      <c r="I342" s="413"/>
      <c r="J342" s="274">
        <v>328</v>
      </c>
      <c r="K342" s="428">
        <f t="shared" si="58"/>
        <v>55273</v>
      </c>
      <c r="L342" s="286">
        <f t="shared" si="59"/>
        <v>0</v>
      </c>
      <c r="M342" s="286">
        <f t="shared" si="53"/>
        <v>0</v>
      </c>
      <c r="N342" s="285">
        <f t="shared" si="54"/>
        <v>0</v>
      </c>
      <c r="O342" s="427">
        <f t="shared" si="55"/>
        <v>0</v>
      </c>
      <c r="Q342" s="413"/>
      <c r="R342" s="274"/>
      <c r="S342" s="428"/>
      <c r="T342" s="286"/>
      <c r="U342" s="286"/>
      <c r="V342" s="285"/>
      <c r="W342" s="427"/>
    </row>
    <row r="343" spans="1:23" x14ac:dyDescent="0.15">
      <c r="A343" s="398"/>
      <c r="B343" s="272">
        <v>329</v>
      </c>
      <c r="C343" s="278">
        <f t="shared" si="56"/>
        <v>55304</v>
      </c>
      <c r="D343" s="280">
        <f t="shared" si="57"/>
        <v>0</v>
      </c>
      <c r="E343" s="280">
        <f t="shared" si="50"/>
        <v>0</v>
      </c>
      <c r="F343" s="280">
        <f t="shared" si="51"/>
        <v>0</v>
      </c>
      <c r="G343" s="404">
        <f t="shared" si="52"/>
        <v>0</v>
      </c>
      <c r="H343" s="281"/>
      <c r="I343" s="413"/>
      <c r="J343" s="274">
        <v>329</v>
      </c>
      <c r="K343" s="428">
        <f t="shared" si="58"/>
        <v>55304</v>
      </c>
      <c r="L343" s="286">
        <f t="shared" si="59"/>
        <v>0</v>
      </c>
      <c r="M343" s="286">
        <f t="shared" si="53"/>
        <v>0</v>
      </c>
      <c r="N343" s="285">
        <f t="shared" si="54"/>
        <v>0</v>
      </c>
      <c r="O343" s="427">
        <f t="shared" si="55"/>
        <v>0</v>
      </c>
      <c r="Q343" s="413"/>
      <c r="R343" s="274"/>
      <c r="S343" s="428"/>
      <c r="T343" s="286"/>
      <c r="U343" s="286"/>
      <c r="V343" s="285"/>
      <c r="W343" s="427"/>
    </row>
    <row r="344" spans="1:23" x14ac:dyDescent="0.15">
      <c r="A344" s="398"/>
      <c r="B344" s="272">
        <v>330</v>
      </c>
      <c r="C344" s="278">
        <f t="shared" si="56"/>
        <v>55334</v>
      </c>
      <c r="D344" s="280">
        <f t="shared" si="57"/>
        <v>0</v>
      </c>
      <c r="E344" s="280">
        <f t="shared" si="50"/>
        <v>0</v>
      </c>
      <c r="F344" s="280">
        <f t="shared" si="51"/>
        <v>0</v>
      </c>
      <c r="G344" s="404">
        <f t="shared" si="52"/>
        <v>0</v>
      </c>
      <c r="H344" s="281"/>
      <c r="I344" s="413"/>
      <c r="J344" s="274">
        <v>330</v>
      </c>
      <c r="K344" s="428">
        <f t="shared" si="58"/>
        <v>55334</v>
      </c>
      <c r="L344" s="286">
        <f t="shared" si="59"/>
        <v>0</v>
      </c>
      <c r="M344" s="286">
        <f t="shared" si="53"/>
        <v>0</v>
      </c>
      <c r="N344" s="285">
        <f t="shared" si="54"/>
        <v>0</v>
      </c>
      <c r="O344" s="427">
        <f t="shared" si="55"/>
        <v>0</v>
      </c>
      <c r="Q344" s="413"/>
      <c r="R344" s="274"/>
      <c r="S344" s="428"/>
      <c r="T344" s="286"/>
      <c r="U344" s="286"/>
      <c r="V344" s="285"/>
      <c r="W344" s="427"/>
    </row>
    <row r="345" spans="1:23" x14ac:dyDescent="0.15">
      <c r="A345" s="398"/>
      <c r="B345" s="272">
        <v>331</v>
      </c>
      <c r="C345" s="278">
        <f t="shared" si="56"/>
        <v>55365</v>
      </c>
      <c r="D345" s="280">
        <f t="shared" si="57"/>
        <v>0</v>
      </c>
      <c r="E345" s="280">
        <f t="shared" si="50"/>
        <v>0</v>
      </c>
      <c r="F345" s="280">
        <f t="shared" si="51"/>
        <v>0</v>
      </c>
      <c r="G345" s="404">
        <f t="shared" si="52"/>
        <v>0</v>
      </c>
      <c r="H345" s="281"/>
      <c r="I345" s="413"/>
      <c r="J345" s="274">
        <v>331</v>
      </c>
      <c r="K345" s="428">
        <f t="shared" si="58"/>
        <v>55365</v>
      </c>
      <c r="L345" s="286">
        <f t="shared" si="59"/>
        <v>0</v>
      </c>
      <c r="M345" s="286">
        <f t="shared" si="53"/>
        <v>0</v>
      </c>
      <c r="N345" s="285">
        <f t="shared" si="54"/>
        <v>0</v>
      </c>
      <c r="O345" s="427">
        <f t="shared" si="55"/>
        <v>0</v>
      </c>
      <c r="Q345" s="413"/>
      <c r="R345" s="274"/>
      <c r="S345" s="428"/>
      <c r="T345" s="286"/>
      <c r="U345" s="286"/>
      <c r="V345" s="285"/>
      <c r="W345" s="427"/>
    </row>
    <row r="346" spans="1:23" x14ac:dyDescent="0.15">
      <c r="A346" s="398"/>
      <c r="B346" s="272">
        <v>332</v>
      </c>
      <c r="C346" s="278">
        <f t="shared" si="56"/>
        <v>55396</v>
      </c>
      <c r="D346" s="280">
        <f t="shared" si="57"/>
        <v>0</v>
      </c>
      <c r="E346" s="280">
        <f t="shared" si="50"/>
        <v>0</v>
      </c>
      <c r="F346" s="280">
        <f t="shared" si="51"/>
        <v>0</v>
      </c>
      <c r="G346" s="404">
        <f t="shared" si="52"/>
        <v>0</v>
      </c>
      <c r="H346" s="281"/>
      <c r="I346" s="413"/>
      <c r="J346" s="274">
        <v>332</v>
      </c>
      <c r="K346" s="428">
        <f t="shared" si="58"/>
        <v>55396</v>
      </c>
      <c r="L346" s="286">
        <f t="shared" si="59"/>
        <v>0</v>
      </c>
      <c r="M346" s="286">
        <f t="shared" si="53"/>
        <v>0</v>
      </c>
      <c r="N346" s="285">
        <f t="shared" si="54"/>
        <v>0</v>
      </c>
      <c r="O346" s="427">
        <f t="shared" si="55"/>
        <v>0</v>
      </c>
      <c r="Q346" s="413"/>
      <c r="R346" s="274"/>
      <c r="S346" s="428"/>
      <c r="T346" s="286"/>
      <c r="U346" s="286"/>
      <c r="V346" s="285"/>
      <c r="W346" s="427"/>
    </row>
    <row r="347" spans="1:23" x14ac:dyDescent="0.15">
      <c r="A347" s="398"/>
      <c r="B347" s="272">
        <v>333</v>
      </c>
      <c r="C347" s="278">
        <f t="shared" si="56"/>
        <v>55426</v>
      </c>
      <c r="D347" s="280">
        <f t="shared" si="57"/>
        <v>0</v>
      </c>
      <c r="E347" s="280">
        <f t="shared" si="50"/>
        <v>0</v>
      </c>
      <c r="F347" s="280">
        <f t="shared" si="51"/>
        <v>0</v>
      </c>
      <c r="G347" s="404">
        <f t="shared" si="52"/>
        <v>0</v>
      </c>
      <c r="H347" s="281"/>
      <c r="I347" s="413"/>
      <c r="J347" s="274">
        <v>333</v>
      </c>
      <c r="K347" s="428">
        <f t="shared" si="58"/>
        <v>55426</v>
      </c>
      <c r="L347" s="286">
        <f t="shared" si="59"/>
        <v>0</v>
      </c>
      <c r="M347" s="286">
        <f t="shared" si="53"/>
        <v>0</v>
      </c>
      <c r="N347" s="285">
        <f t="shared" si="54"/>
        <v>0</v>
      </c>
      <c r="O347" s="427">
        <f t="shared" si="55"/>
        <v>0</v>
      </c>
      <c r="Q347" s="413"/>
      <c r="R347" s="274"/>
      <c r="S347" s="428"/>
      <c r="T347" s="286"/>
      <c r="U347" s="286"/>
      <c r="V347" s="285"/>
      <c r="W347" s="427"/>
    </row>
    <row r="348" spans="1:23" x14ac:dyDescent="0.15">
      <c r="A348" s="398"/>
      <c r="B348" s="272">
        <v>334</v>
      </c>
      <c r="C348" s="278">
        <f t="shared" si="56"/>
        <v>55457</v>
      </c>
      <c r="D348" s="280">
        <f t="shared" si="57"/>
        <v>0</v>
      </c>
      <c r="E348" s="280">
        <f t="shared" si="50"/>
        <v>0</v>
      </c>
      <c r="F348" s="280">
        <f t="shared" si="51"/>
        <v>0</v>
      </c>
      <c r="G348" s="404">
        <f t="shared" si="52"/>
        <v>0</v>
      </c>
      <c r="H348" s="281"/>
      <c r="I348" s="413"/>
      <c r="J348" s="274">
        <v>334</v>
      </c>
      <c r="K348" s="428">
        <f t="shared" si="58"/>
        <v>55457</v>
      </c>
      <c r="L348" s="286">
        <f t="shared" si="59"/>
        <v>0</v>
      </c>
      <c r="M348" s="286">
        <f t="shared" si="53"/>
        <v>0</v>
      </c>
      <c r="N348" s="285">
        <f t="shared" si="54"/>
        <v>0</v>
      </c>
      <c r="O348" s="427">
        <f t="shared" si="55"/>
        <v>0</v>
      </c>
      <c r="Q348" s="413"/>
      <c r="R348" s="274"/>
      <c r="S348" s="428"/>
      <c r="T348" s="286"/>
      <c r="U348" s="286"/>
      <c r="V348" s="285"/>
      <c r="W348" s="427"/>
    </row>
    <row r="349" spans="1:23" x14ac:dyDescent="0.15">
      <c r="A349" s="398"/>
      <c r="B349" s="272">
        <v>335</v>
      </c>
      <c r="C349" s="278">
        <f t="shared" si="56"/>
        <v>55487</v>
      </c>
      <c r="D349" s="280">
        <f t="shared" si="57"/>
        <v>0</v>
      </c>
      <c r="E349" s="280">
        <f t="shared" si="50"/>
        <v>0</v>
      </c>
      <c r="F349" s="280">
        <f t="shared" si="51"/>
        <v>0</v>
      </c>
      <c r="G349" s="404">
        <f t="shared" si="52"/>
        <v>0</v>
      </c>
      <c r="H349" s="281"/>
      <c r="I349" s="413"/>
      <c r="J349" s="274">
        <v>335</v>
      </c>
      <c r="K349" s="428">
        <f t="shared" si="58"/>
        <v>55487</v>
      </c>
      <c r="L349" s="286">
        <f t="shared" si="59"/>
        <v>0</v>
      </c>
      <c r="M349" s="286">
        <f t="shared" si="53"/>
        <v>0</v>
      </c>
      <c r="N349" s="285">
        <f t="shared" si="54"/>
        <v>0</v>
      </c>
      <c r="O349" s="427">
        <f t="shared" si="55"/>
        <v>0</v>
      </c>
      <c r="Q349" s="413"/>
      <c r="R349" s="274"/>
      <c r="S349" s="428"/>
      <c r="T349" s="286"/>
      <c r="U349" s="286"/>
      <c r="V349" s="285"/>
      <c r="W349" s="427"/>
    </row>
    <row r="350" spans="1:23" x14ac:dyDescent="0.15">
      <c r="A350" s="398"/>
      <c r="B350" s="272">
        <v>336</v>
      </c>
      <c r="C350" s="278">
        <f t="shared" si="56"/>
        <v>55518</v>
      </c>
      <c r="D350" s="280">
        <f t="shared" si="57"/>
        <v>0</v>
      </c>
      <c r="E350" s="280">
        <f t="shared" si="50"/>
        <v>0</v>
      </c>
      <c r="F350" s="280">
        <f t="shared" si="51"/>
        <v>0</v>
      </c>
      <c r="G350" s="404">
        <f t="shared" si="52"/>
        <v>0</v>
      </c>
      <c r="H350" s="281"/>
      <c r="I350" s="413"/>
      <c r="J350" s="274">
        <v>336</v>
      </c>
      <c r="K350" s="428">
        <f t="shared" si="58"/>
        <v>55518</v>
      </c>
      <c r="L350" s="286">
        <f t="shared" si="59"/>
        <v>0</v>
      </c>
      <c r="M350" s="286">
        <f t="shared" si="53"/>
        <v>0</v>
      </c>
      <c r="N350" s="285">
        <f t="shared" si="54"/>
        <v>0</v>
      </c>
      <c r="O350" s="427">
        <f t="shared" si="55"/>
        <v>0</v>
      </c>
      <c r="Q350" s="413"/>
      <c r="R350" s="274"/>
      <c r="S350" s="428"/>
      <c r="T350" s="286"/>
      <c r="U350" s="286"/>
      <c r="V350" s="285"/>
      <c r="W350" s="427"/>
    </row>
    <row r="351" spans="1:23" x14ac:dyDescent="0.15">
      <c r="A351" s="398"/>
      <c r="B351" s="272">
        <v>337</v>
      </c>
      <c r="C351" s="278">
        <f t="shared" si="56"/>
        <v>55549</v>
      </c>
      <c r="D351" s="280">
        <f t="shared" si="57"/>
        <v>0</v>
      </c>
      <c r="E351" s="280">
        <f t="shared" si="50"/>
        <v>0</v>
      </c>
      <c r="F351" s="280">
        <f t="shared" si="51"/>
        <v>0</v>
      </c>
      <c r="G351" s="404">
        <f t="shared" si="52"/>
        <v>0</v>
      </c>
      <c r="H351" s="281"/>
      <c r="I351" s="413"/>
      <c r="J351" s="274">
        <v>337</v>
      </c>
      <c r="K351" s="428">
        <f t="shared" si="58"/>
        <v>55549</v>
      </c>
      <c r="L351" s="286">
        <f t="shared" si="59"/>
        <v>0</v>
      </c>
      <c r="M351" s="286">
        <f t="shared" si="53"/>
        <v>0</v>
      </c>
      <c r="N351" s="285">
        <f t="shared" si="54"/>
        <v>0</v>
      </c>
      <c r="O351" s="427">
        <f t="shared" si="55"/>
        <v>0</v>
      </c>
      <c r="Q351" s="413"/>
      <c r="R351" s="274"/>
      <c r="S351" s="428"/>
      <c r="T351" s="286"/>
      <c r="U351" s="286"/>
      <c r="V351" s="285"/>
      <c r="W351" s="427"/>
    </row>
    <row r="352" spans="1:23" x14ac:dyDescent="0.15">
      <c r="A352" s="398"/>
      <c r="B352" s="272">
        <v>338</v>
      </c>
      <c r="C352" s="278">
        <f t="shared" si="56"/>
        <v>55578</v>
      </c>
      <c r="D352" s="280">
        <f t="shared" si="57"/>
        <v>0</v>
      </c>
      <c r="E352" s="280">
        <f t="shared" si="50"/>
        <v>0</v>
      </c>
      <c r="F352" s="280">
        <f t="shared" si="51"/>
        <v>0</v>
      </c>
      <c r="G352" s="404">
        <f t="shared" si="52"/>
        <v>0</v>
      </c>
      <c r="H352" s="281"/>
      <c r="I352" s="413"/>
      <c r="J352" s="274">
        <v>338</v>
      </c>
      <c r="K352" s="428">
        <f t="shared" si="58"/>
        <v>55578</v>
      </c>
      <c r="L352" s="286">
        <f t="shared" si="59"/>
        <v>0</v>
      </c>
      <c r="M352" s="286">
        <f t="shared" si="53"/>
        <v>0</v>
      </c>
      <c r="N352" s="285">
        <f t="shared" si="54"/>
        <v>0</v>
      </c>
      <c r="O352" s="427">
        <f t="shared" si="55"/>
        <v>0</v>
      </c>
      <c r="Q352" s="413"/>
      <c r="R352" s="274"/>
      <c r="S352" s="428"/>
      <c r="T352" s="286"/>
      <c r="U352" s="286"/>
      <c r="V352" s="285"/>
      <c r="W352" s="427"/>
    </row>
    <row r="353" spans="1:23" x14ac:dyDescent="0.15">
      <c r="A353" s="398"/>
      <c r="B353" s="272">
        <v>339</v>
      </c>
      <c r="C353" s="278">
        <f t="shared" si="56"/>
        <v>55609</v>
      </c>
      <c r="D353" s="280">
        <f t="shared" si="57"/>
        <v>0</v>
      </c>
      <c r="E353" s="280">
        <f t="shared" si="50"/>
        <v>0</v>
      </c>
      <c r="F353" s="280">
        <f t="shared" si="51"/>
        <v>0</v>
      </c>
      <c r="G353" s="404">
        <f t="shared" si="52"/>
        <v>0</v>
      </c>
      <c r="H353" s="281"/>
      <c r="I353" s="413"/>
      <c r="J353" s="274">
        <v>339</v>
      </c>
      <c r="K353" s="428">
        <f t="shared" si="58"/>
        <v>55609</v>
      </c>
      <c r="L353" s="286">
        <f t="shared" si="59"/>
        <v>0</v>
      </c>
      <c r="M353" s="286">
        <f t="shared" si="53"/>
        <v>0</v>
      </c>
      <c r="N353" s="285">
        <f t="shared" si="54"/>
        <v>0</v>
      </c>
      <c r="O353" s="427">
        <f t="shared" si="55"/>
        <v>0</v>
      </c>
      <c r="Q353" s="413"/>
      <c r="R353" s="274"/>
      <c r="S353" s="428"/>
      <c r="T353" s="286"/>
      <c r="U353" s="286"/>
      <c r="V353" s="285"/>
      <c r="W353" s="427"/>
    </row>
    <row r="354" spans="1:23" x14ac:dyDescent="0.15">
      <c r="A354" s="398"/>
      <c r="B354" s="272">
        <v>340</v>
      </c>
      <c r="C354" s="278">
        <f t="shared" si="56"/>
        <v>55639</v>
      </c>
      <c r="D354" s="280">
        <f t="shared" si="57"/>
        <v>0</v>
      </c>
      <c r="E354" s="280">
        <f t="shared" si="50"/>
        <v>0</v>
      </c>
      <c r="F354" s="280">
        <f t="shared" si="51"/>
        <v>0</v>
      </c>
      <c r="G354" s="404">
        <f t="shared" si="52"/>
        <v>0</v>
      </c>
      <c r="H354" s="281"/>
      <c r="I354" s="413"/>
      <c r="J354" s="274">
        <v>340</v>
      </c>
      <c r="K354" s="428">
        <f t="shared" si="58"/>
        <v>55639</v>
      </c>
      <c r="L354" s="286">
        <f t="shared" si="59"/>
        <v>0</v>
      </c>
      <c r="M354" s="286">
        <f t="shared" si="53"/>
        <v>0</v>
      </c>
      <c r="N354" s="285">
        <f t="shared" si="54"/>
        <v>0</v>
      </c>
      <c r="O354" s="427">
        <f t="shared" si="55"/>
        <v>0</v>
      </c>
      <c r="Q354" s="413"/>
      <c r="R354" s="274"/>
      <c r="S354" s="428"/>
      <c r="T354" s="286"/>
      <c r="U354" s="286"/>
      <c r="V354" s="285"/>
      <c r="W354" s="427"/>
    </row>
    <row r="355" spans="1:23" x14ac:dyDescent="0.15">
      <c r="A355" s="398"/>
      <c r="B355" s="272">
        <v>341</v>
      </c>
      <c r="C355" s="278">
        <f t="shared" si="56"/>
        <v>55670</v>
      </c>
      <c r="D355" s="280">
        <f t="shared" si="57"/>
        <v>0</v>
      </c>
      <c r="E355" s="280">
        <f t="shared" si="50"/>
        <v>0</v>
      </c>
      <c r="F355" s="280">
        <f t="shared" si="51"/>
        <v>0</v>
      </c>
      <c r="G355" s="404">
        <f t="shared" si="52"/>
        <v>0</v>
      </c>
      <c r="H355" s="281"/>
      <c r="I355" s="413"/>
      <c r="J355" s="274">
        <v>341</v>
      </c>
      <c r="K355" s="428">
        <f t="shared" si="58"/>
        <v>55670</v>
      </c>
      <c r="L355" s="286">
        <f t="shared" si="59"/>
        <v>0</v>
      </c>
      <c r="M355" s="286">
        <f t="shared" si="53"/>
        <v>0</v>
      </c>
      <c r="N355" s="285">
        <f t="shared" si="54"/>
        <v>0</v>
      </c>
      <c r="O355" s="427">
        <f t="shared" si="55"/>
        <v>0</v>
      </c>
      <c r="Q355" s="413"/>
      <c r="R355" s="274"/>
      <c r="S355" s="428"/>
      <c r="T355" s="286"/>
      <c r="U355" s="286"/>
      <c r="V355" s="285"/>
      <c r="W355" s="427"/>
    </row>
    <row r="356" spans="1:23" x14ac:dyDescent="0.15">
      <c r="A356" s="398"/>
      <c r="B356" s="272">
        <v>342</v>
      </c>
      <c r="C356" s="278">
        <f t="shared" si="56"/>
        <v>55700</v>
      </c>
      <c r="D356" s="280">
        <f t="shared" si="57"/>
        <v>0</v>
      </c>
      <c r="E356" s="280">
        <f t="shared" si="50"/>
        <v>0</v>
      </c>
      <c r="F356" s="280">
        <f t="shared" si="51"/>
        <v>0</v>
      </c>
      <c r="G356" s="404">
        <f t="shared" si="52"/>
        <v>0</v>
      </c>
      <c r="H356" s="281"/>
      <c r="I356" s="413"/>
      <c r="J356" s="274">
        <v>342</v>
      </c>
      <c r="K356" s="428">
        <f t="shared" si="58"/>
        <v>55700</v>
      </c>
      <c r="L356" s="286">
        <f t="shared" si="59"/>
        <v>0</v>
      </c>
      <c r="M356" s="286">
        <f t="shared" si="53"/>
        <v>0</v>
      </c>
      <c r="N356" s="285">
        <f t="shared" si="54"/>
        <v>0</v>
      </c>
      <c r="O356" s="427">
        <f t="shared" si="55"/>
        <v>0</v>
      </c>
      <c r="Q356" s="413"/>
      <c r="R356" s="274"/>
      <c r="S356" s="428"/>
      <c r="T356" s="286"/>
      <c r="U356" s="286"/>
      <c r="V356" s="285"/>
      <c r="W356" s="427"/>
    </row>
    <row r="357" spans="1:23" x14ac:dyDescent="0.15">
      <c r="A357" s="398"/>
      <c r="B357" s="272">
        <v>343</v>
      </c>
      <c r="C357" s="278">
        <f t="shared" si="56"/>
        <v>55731</v>
      </c>
      <c r="D357" s="280">
        <f t="shared" si="57"/>
        <v>0</v>
      </c>
      <c r="E357" s="280">
        <f t="shared" si="50"/>
        <v>0</v>
      </c>
      <c r="F357" s="280">
        <f t="shared" si="51"/>
        <v>0</v>
      </c>
      <c r="G357" s="404">
        <f t="shared" si="52"/>
        <v>0</v>
      </c>
      <c r="H357" s="281"/>
      <c r="I357" s="413"/>
      <c r="J357" s="274">
        <v>343</v>
      </c>
      <c r="K357" s="428">
        <f t="shared" si="58"/>
        <v>55731</v>
      </c>
      <c r="L357" s="286">
        <f t="shared" si="59"/>
        <v>0</v>
      </c>
      <c r="M357" s="286">
        <f t="shared" si="53"/>
        <v>0</v>
      </c>
      <c r="N357" s="285">
        <f t="shared" si="54"/>
        <v>0</v>
      </c>
      <c r="O357" s="427">
        <f t="shared" si="55"/>
        <v>0</v>
      </c>
      <c r="Q357" s="413"/>
      <c r="R357" s="274"/>
      <c r="S357" s="428"/>
      <c r="T357" s="286"/>
      <c r="U357" s="286"/>
      <c r="V357" s="285"/>
      <c r="W357" s="427"/>
    </row>
    <row r="358" spans="1:23" x14ac:dyDescent="0.15">
      <c r="A358" s="398"/>
      <c r="B358" s="272">
        <v>344</v>
      </c>
      <c r="C358" s="278">
        <f t="shared" si="56"/>
        <v>55762</v>
      </c>
      <c r="D358" s="280">
        <f t="shared" si="57"/>
        <v>0</v>
      </c>
      <c r="E358" s="280">
        <f t="shared" si="50"/>
        <v>0</v>
      </c>
      <c r="F358" s="280">
        <f t="shared" si="51"/>
        <v>0</v>
      </c>
      <c r="G358" s="404">
        <f t="shared" si="52"/>
        <v>0</v>
      </c>
      <c r="H358" s="281"/>
      <c r="I358" s="413"/>
      <c r="J358" s="274">
        <v>344</v>
      </c>
      <c r="K358" s="428">
        <f t="shared" si="58"/>
        <v>55762</v>
      </c>
      <c r="L358" s="286">
        <f t="shared" si="59"/>
        <v>0</v>
      </c>
      <c r="M358" s="286">
        <f t="shared" si="53"/>
        <v>0</v>
      </c>
      <c r="N358" s="285">
        <f t="shared" si="54"/>
        <v>0</v>
      </c>
      <c r="O358" s="427">
        <f t="shared" si="55"/>
        <v>0</v>
      </c>
      <c r="Q358" s="413"/>
      <c r="R358" s="274"/>
      <c r="S358" s="428"/>
      <c r="T358" s="286"/>
      <c r="U358" s="286"/>
      <c r="V358" s="285"/>
      <c r="W358" s="427"/>
    </row>
    <row r="359" spans="1:23" x14ac:dyDescent="0.15">
      <c r="A359" s="398"/>
      <c r="B359" s="272">
        <v>345</v>
      </c>
      <c r="C359" s="278">
        <f t="shared" si="56"/>
        <v>55792</v>
      </c>
      <c r="D359" s="280">
        <f t="shared" si="57"/>
        <v>0</v>
      </c>
      <c r="E359" s="280">
        <f t="shared" si="50"/>
        <v>0</v>
      </c>
      <c r="F359" s="280">
        <f t="shared" si="51"/>
        <v>0</v>
      </c>
      <c r="G359" s="404">
        <f t="shared" si="52"/>
        <v>0</v>
      </c>
      <c r="H359" s="281"/>
      <c r="I359" s="413"/>
      <c r="J359" s="274">
        <v>345</v>
      </c>
      <c r="K359" s="428">
        <f t="shared" si="58"/>
        <v>55792</v>
      </c>
      <c r="L359" s="286">
        <f t="shared" si="59"/>
        <v>0</v>
      </c>
      <c r="M359" s="286">
        <f t="shared" si="53"/>
        <v>0</v>
      </c>
      <c r="N359" s="285">
        <f t="shared" si="54"/>
        <v>0</v>
      </c>
      <c r="O359" s="427">
        <f t="shared" si="55"/>
        <v>0</v>
      </c>
      <c r="Q359" s="413"/>
      <c r="R359" s="274"/>
      <c r="S359" s="428"/>
      <c r="T359" s="286"/>
      <c r="U359" s="286"/>
      <c r="V359" s="285"/>
      <c r="W359" s="427"/>
    </row>
    <row r="360" spans="1:23" x14ac:dyDescent="0.15">
      <c r="A360" s="398"/>
      <c r="B360" s="272">
        <v>346</v>
      </c>
      <c r="C360" s="278">
        <f t="shared" si="56"/>
        <v>55823</v>
      </c>
      <c r="D360" s="280">
        <f t="shared" si="57"/>
        <v>0</v>
      </c>
      <c r="E360" s="280">
        <f t="shared" si="50"/>
        <v>0</v>
      </c>
      <c r="F360" s="280">
        <f t="shared" si="51"/>
        <v>0</v>
      </c>
      <c r="G360" s="404">
        <f t="shared" si="52"/>
        <v>0</v>
      </c>
      <c r="H360" s="281"/>
      <c r="I360" s="413"/>
      <c r="J360" s="274">
        <v>346</v>
      </c>
      <c r="K360" s="428">
        <f t="shared" si="58"/>
        <v>55823</v>
      </c>
      <c r="L360" s="286">
        <f t="shared" si="59"/>
        <v>0</v>
      </c>
      <c r="M360" s="286">
        <f t="shared" si="53"/>
        <v>0</v>
      </c>
      <c r="N360" s="285">
        <f t="shared" si="54"/>
        <v>0</v>
      </c>
      <c r="O360" s="427">
        <f t="shared" si="55"/>
        <v>0</v>
      </c>
      <c r="Q360" s="413"/>
      <c r="R360" s="274"/>
      <c r="S360" s="428"/>
      <c r="T360" s="286"/>
      <c r="U360" s="286"/>
      <c r="V360" s="285"/>
      <c r="W360" s="427"/>
    </row>
    <row r="361" spans="1:23" x14ac:dyDescent="0.15">
      <c r="A361" s="398"/>
      <c r="B361" s="272">
        <v>347</v>
      </c>
      <c r="C361" s="278">
        <f t="shared" si="56"/>
        <v>55853</v>
      </c>
      <c r="D361" s="280">
        <f t="shared" si="57"/>
        <v>0</v>
      </c>
      <c r="E361" s="280">
        <f t="shared" si="50"/>
        <v>0</v>
      </c>
      <c r="F361" s="280">
        <f t="shared" si="51"/>
        <v>0</v>
      </c>
      <c r="G361" s="404">
        <f t="shared" si="52"/>
        <v>0</v>
      </c>
      <c r="H361" s="281"/>
      <c r="I361" s="413"/>
      <c r="J361" s="274">
        <v>347</v>
      </c>
      <c r="K361" s="428">
        <f t="shared" si="58"/>
        <v>55853</v>
      </c>
      <c r="L361" s="286">
        <f t="shared" si="59"/>
        <v>0</v>
      </c>
      <c r="M361" s="286">
        <f t="shared" si="53"/>
        <v>0</v>
      </c>
      <c r="N361" s="285">
        <f t="shared" si="54"/>
        <v>0</v>
      </c>
      <c r="O361" s="427">
        <f t="shared" si="55"/>
        <v>0</v>
      </c>
      <c r="Q361" s="413"/>
      <c r="R361" s="274"/>
      <c r="S361" s="428"/>
      <c r="T361" s="286"/>
      <c r="U361" s="286"/>
      <c r="V361" s="285"/>
      <c r="W361" s="427"/>
    </row>
    <row r="362" spans="1:23" x14ac:dyDescent="0.15">
      <c r="A362" s="398"/>
      <c r="B362" s="272">
        <v>348</v>
      </c>
      <c r="C362" s="278">
        <f t="shared" si="56"/>
        <v>55884</v>
      </c>
      <c r="D362" s="280">
        <f t="shared" si="57"/>
        <v>0</v>
      </c>
      <c r="E362" s="280">
        <f t="shared" si="50"/>
        <v>0</v>
      </c>
      <c r="F362" s="280">
        <f t="shared" si="51"/>
        <v>0</v>
      </c>
      <c r="G362" s="404">
        <f t="shared" si="52"/>
        <v>0</v>
      </c>
      <c r="H362" s="281"/>
      <c r="I362" s="413"/>
      <c r="J362" s="274">
        <v>348</v>
      </c>
      <c r="K362" s="428">
        <f t="shared" si="58"/>
        <v>55884</v>
      </c>
      <c r="L362" s="286">
        <f t="shared" si="59"/>
        <v>0</v>
      </c>
      <c r="M362" s="286">
        <f t="shared" si="53"/>
        <v>0</v>
      </c>
      <c r="N362" s="285">
        <f t="shared" si="54"/>
        <v>0</v>
      </c>
      <c r="O362" s="427">
        <f t="shared" si="55"/>
        <v>0</v>
      </c>
      <c r="Q362" s="413"/>
      <c r="R362" s="274"/>
      <c r="S362" s="428"/>
      <c r="T362" s="286"/>
      <c r="U362" s="286"/>
      <c r="V362" s="285"/>
      <c r="W362" s="427"/>
    </row>
    <row r="363" spans="1:23" x14ac:dyDescent="0.15">
      <c r="A363" s="398"/>
      <c r="B363" s="272">
        <v>349</v>
      </c>
      <c r="C363" s="278">
        <f t="shared" si="56"/>
        <v>55915</v>
      </c>
      <c r="D363" s="280">
        <f t="shared" si="57"/>
        <v>0</v>
      </c>
      <c r="E363" s="280">
        <f t="shared" si="50"/>
        <v>0</v>
      </c>
      <c r="F363" s="280">
        <f t="shared" si="51"/>
        <v>0</v>
      </c>
      <c r="G363" s="404">
        <f t="shared" si="52"/>
        <v>0</v>
      </c>
      <c r="H363" s="281"/>
      <c r="I363" s="413"/>
      <c r="J363" s="274">
        <v>349</v>
      </c>
      <c r="K363" s="428">
        <f t="shared" si="58"/>
        <v>55915</v>
      </c>
      <c r="L363" s="286">
        <f t="shared" si="59"/>
        <v>0</v>
      </c>
      <c r="M363" s="286">
        <f t="shared" si="53"/>
        <v>0</v>
      </c>
      <c r="N363" s="285">
        <f t="shared" si="54"/>
        <v>0</v>
      </c>
      <c r="O363" s="427">
        <f t="shared" si="55"/>
        <v>0</v>
      </c>
      <c r="Q363" s="413"/>
      <c r="R363" s="274"/>
      <c r="S363" s="428"/>
      <c r="T363" s="286"/>
      <c r="U363" s="286"/>
      <c r="V363" s="285"/>
      <c r="W363" s="427"/>
    </row>
    <row r="364" spans="1:23" x14ac:dyDescent="0.15">
      <c r="A364" s="398"/>
      <c r="B364" s="272">
        <v>350</v>
      </c>
      <c r="C364" s="278">
        <f t="shared" si="56"/>
        <v>55943</v>
      </c>
      <c r="D364" s="280">
        <f t="shared" si="57"/>
        <v>0</v>
      </c>
      <c r="E364" s="280">
        <f t="shared" si="50"/>
        <v>0</v>
      </c>
      <c r="F364" s="280">
        <f t="shared" si="51"/>
        <v>0</v>
      </c>
      <c r="G364" s="404">
        <f t="shared" si="52"/>
        <v>0</v>
      </c>
      <c r="H364" s="281"/>
      <c r="I364" s="413"/>
      <c r="J364" s="274">
        <v>350</v>
      </c>
      <c r="K364" s="428">
        <f t="shared" si="58"/>
        <v>55943</v>
      </c>
      <c r="L364" s="286">
        <f t="shared" si="59"/>
        <v>0</v>
      </c>
      <c r="M364" s="286">
        <f t="shared" si="53"/>
        <v>0</v>
      </c>
      <c r="N364" s="285">
        <f t="shared" si="54"/>
        <v>0</v>
      </c>
      <c r="O364" s="427">
        <f t="shared" si="55"/>
        <v>0</v>
      </c>
      <c r="Q364" s="413"/>
      <c r="R364" s="274"/>
      <c r="S364" s="428"/>
      <c r="T364" s="286"/>
      <c r="U364" s="286"/>
      <c r="V364" s="285"/>
      <c r="W364" s="427"/>
    </row>
    <row r="365" spans="1:23" x14ac:dyDescent="0.15">
      <c r="A365" s="398"/>
      <c r="B365" s="272">
        <v>351</v>
      </c>
      <c r="C365" s="278">
        <f t="shared" si="56"/>
        <v>55974</v>
      </c>
      <c r="D365" s="280">
        <f t="shared" si="57"/>
        <v>0</v>
      </c>
      <c r="E365" s="280">
        <f t="shared" si="50"/>
        <v>0</v>
      </c>
      <c r="F365" s="280">
        <f t="shared" si="51"/>
        <v>0</v>
      </c>
      <c r="G365" s="404">
        <f t="shared" si="52"/>
        <v>0</v>
      </c>
      <c r="H365" s="281"/>
      <c r="I365" s="413"/>
      <c r="J365" s="274">
        <v>351</v>
      </c>
      <c r="K365" s="428">
        <f t="shared" si="58"/>
        <v>55974</v>
      </c>
      <c r="L365" s="286">
        <f t="shared" si="59"/>
        <v>0</v>
      </c>
      <c r="M365" s="286">
        <f t="shared" si="53"/>
        <v>0</v>
      </c>
      <c r="N365" s="285">
        <f t="shared" si="54"/>
        <v>0</v>
      </c>
      <c r="O365" s="427">
        <f t="shared" si="55"/>
        <v>0</v>
      </c>
      <c r="Q365" s="413"/>
      <c r="R365" s="274"/>
      <c r="S365" s="428"/>
      <c r="T365" s="286"/>
      <c r="U365" s="286"/>
      <c r="V365" s="285"/>
      <c r="W365" s="427"/>
    </row>
    <row r="366" spans="1:23" x14ac:dyDescent="0.15">
      <c r="A366" s="398"/>
      <c r="B366" s="272">
        <v>352</v>
      </c>
      <c r="C366" s="278">
        <f t="shared" si="56"/>
        <v>56004</v>
      </c>
      <c r="D366" s="280">
        <f t="shared" si="57"/>
        <v>0</v>
      </c>
      <c r="E366" s="280">
        <f t="shared" si="50"/>
        <v>0</v>
      </c>
      <c r="F366" s="280">
        <f t="shared" si="51"/>
        <v>0</v>
      </c>
      <c r="G366" s="404">
        <f t="shared" si="52"/>
        <v>0</v>
      </c>
      <c r="H366" s="281"/>
      <c r="I366" s="413"/>
      <c r="J366" s="274">
        <v>352</v>
      </c>
      <c r="K366" s="428">
        <f t="shared" si="58"/>
        <v>56004</v>
      </c>
      <c r="L366" s="286">
        <f t="shared" si="59"/>
        <v>0</v>
      </c>
      <c r="M366" s="286">
        <f t="shared" si="53"/>
        <v>0</v>
      </c>
      <c r="N366" s="285">
        <f t="shared" si="54"/>
        <v>0</v>
      </c>
      <c r="O366" s="427">
        <f t="shared" si="55"/>
        <v>0</v>
      </c>
      <c r="Q366" s="413"/>
      <c r="R366" s="274"/>
      <c r="S366" s="428"/>
      <c r="T366" s="286"/>
      <c r="U366" s="286"/>
      <c r="V366" s="285"/>
      <c r="W366" s="427"/>
    </row>
    <row r="367" spans="1:23" x14ac:dyDescent="0.15">
      <c r="A367" s="398"/>
      <c r="B367" s="272">
        <v>353</v>
      </c>
      <c r="C367" s="278">
        <f t="shared" si="56"/>
        <v>56035</v>
      </c>
      <c r="D367" s="280">
        <f t="shared" si="57"/>
        <v>0</v>
      </c>
      <c r="E367" s="280">
        <f t="shared" si="50"/>
        <v>0</v>
      </c>
      <c r="F367" s="280">
        <f t="shared" si="51"/>
        <v>0</v>
      </c>
      <c r="G367" s="404">
        <f t="shared" si="52"/>
        <v>0</v>
      </c>
      <c r="H367" s="281"/>
      <c r="I367" s="413"/>
      <c r="J367" s="274">
        <v>353</v>
      </c>
      <c r="K367" s="428">
        <f t="shared" si="58"/>
        <v>56035</v>
      </c>
      <c r="L367" s="286">
        <f t="shared" si="59"/>
        <v>0</v>
      </c>
      <c r="M367" s="286">
        <f t="shared" si="53"/>
        <v>0</v>
      </c>
      <c r="N367" s="285">
        <f t="shared" si="54"/>
        <v>0</v>
      </c>
      <c r="O367" s="427">
        <f t="shared" si="55"/>
        <v>0</v>
      </c>
      <c r="Q367" s="413"/>
      <c r="R367" s="274"/>
      <c r="S367" s="428"/>
      <c r="T367" s="286"/>
      <c r="U367" s="286"/>
      <c r="V367" s="285"/>
      <c r="W367" s="427"/>
    </row>
    <row r="368" spans="1:23" x14ac:dyDescent="0.15">
      <c r="A368" s="398"/>
      <c r="B368" s="272">
        <v>354</v>
      </c>
      <c r="C368" s="278">
        <f t="shared" si="56"/>
        <v>56065</v>
      </c>
      <c r="D368" s="280">
        <f t="shared" si="57"/>
        <v>0</v>
      </c>
      <c r="E368" s="280">
        <f t="shared" si="50"/>
        <v>0</v>
      </c>
      <c r="F368" s="280">
        <f t="shared" si="51"/>
        <v>0</v>
      </c>
      <c r="G368" s="404">
        <f t="shared" si="52"/>
        <v>0</v>
      </c>
      <c r="H368" s="281"/>
      <c r="I368" s="413"/>
      <c r="J368" s="274">
        <v>354</v>
      </c>
      <c r="K368" s="428">
        <f t="shared" si="58"/>
        <v>56065</v>
      </c>
      <c r="L368" s="286">
        <f t="shared" si="59"/>
        <v>0</v>
      </c>
      <c r="M368" s="286">
        <f t="shared" si="53"/>
        <v>0</v>
      </c>
      <c r="N368" s="285">
        <f t="shared" si="54"/>
        <v>0</v>
      </c>
      <c r="O368" s="427">
        <f t="shared" si="55"/>
        <v>0</v>
      </c>
      <c r="Q368" s="413"/>
      <c r="R368" s="274"/>
      <c r="S368" s="428"/>
      <c r="T368" s="286"/>
      <c r="U368" s="286"/>
      <c r="V368" s="285"/>
      <c r="W368" s="427"/>
    </row>
    <row r="369" spans="1:24" x14ac:dyDescent="0.15">
      <c r="A369" s="398"/>
      <c r="B369" s="272">
        <v>355</v>
      </c>
      <c r="C369" s="278">
        <f t="shared" si="56"/>
        <v>56096</v>
      </c>
      <c r="D369" s="280">
        <f t="shared" si="57"/>
        <v>0</v>
      </c>
      <c r="E369" s="280">
        <f t="shared" si="50"/>
        <v>0</v>
      </c>
      <c r="F369" s="280">
        <f t="shared" si="51"/>
        <v>0</v>
      </c>
      <c r="G369" s="404">
        <f t="shared" si="52"/>
        <v>0</v>
      </c>
      <c r="H369" s="281"/>
      <c r="I369" s="413"/>
      <c r="J369" s="274">
        <v>355</v>
      </c>
      <c r="K369" s="428">
        <f t="shared" si="58"/>
        <v>56096</v>
      </c>
      <c r="L369" s="286">
        <f t="shared" si="59"/>
        <v>0</v>
      </c>
      <c r="M369" s="286">
        <f t="shared" si="53"/>
        <v>0</v>
      </c>
      <c r="N369" s="285">
        <f t="shared" si="54"/>
        <v>0</v>
      </c>
      <c r="O369" s="427">
        <f t="shared" si="55"/>
        <v>0</v>
      </c>
      <c r="Q369" s="413"/>
      <c r="R369" s="274"/>
      <c r="S369" s="428"/>
      <c r="T369" s="286"/>
      <c r="U369" s="286"/>
      <c r="V369" s="285"/>
      <c r="W369" s="427"/>
    </row>
    <row r="370" spans="1:24" x14ac:dyDescent="0.15">
      <c r="A370" s="398"/>
      <c r="B370" s="272">
        <v>356</v>
      </c>
      <c r="C370" s="278">
        <f t="shared" si="56"/>
        <v>56127</v>
      </c>
      <c r="D370" s="280">
        <f t="shared" si="57"/>
        <v>0</v>
      </c>
      <c r="E370" s="280">
        <f t="shared" si="50"/>
        <v>0</v>
      </c>
      <c r="F370" s="280">
        <f t="shared" si="51"/>
        <v>0</v>
      </c>
      <c r="G370" s="404">
        <f t="shared" si="52"/>
        <v>0</v>
      </c>
      <c r="H370" s="281"/>
      <c r="I370" s="413"/>
      <c r="J370" s="274">
        <v>356</v>
      </c>
      <c r="K370" s="428">
        <f t="shared" si="58"/>
        <v>56127</v>
      </c>
      <c r="L370" s="286">
        <f t="shared" si="59"/>
        <v>0</v>
      </c>
      <c r="M370" s="286">
        <f t="shared" si="53"/>
        <v>0</v>
      </c>
      <c r="N370" s="285">
        <f t="shared" si="54"/>
        <v>0</v>
      </c>
      <c r="O370" s="427">
        <f t="shared" si="55"/>
        <v>0</v>
      </c>
      <c r="Q370" s="413"/>
      <c r="R370" s="274"/>
      <c r="S370" s="428"/>
      <c r="T370" s="286"/>
      <c r="U370" s="286"/>
      <c r="V370" s="285"/>
      <c r="W370" s="427"/>
    </row>
    <row r="371" spans="1:24" x14ac:dyDescent="0.15">
      <c r="A371" s="398"/>
      <c r="B371" s="272">
        <v>357</v>
      </c>
      <c r="C371" s="278">
        <f t="shared" si="56"/>
        <v>56157</v>
      </c>
      <c r="D371" s="280">
        <f t="shared" si="57"/>
        <v>0</v>
      </c>
      <c r="E371" s="280">
        <f t="shared" si="50"/>
        <v>0</v>
      </c>
      <c r="F371" s="280">
        <f t="shared" si="51"/>
        <v>0</v>
      </c>
      <c r="G371" s="404">
        <f t="shared" si="52"/>
        <v>0</v>
      </c>
      <c r="H371" s="281"/>
      <c r="I371" s="413"/>
      <c r="J371" s="274">
        <v>357</v>
      </c>
      <c r="K371" s="428">
        <f t="shared" si="58"/>
        <v>56157</v>
      </c>
      <c r="L371" s="286">
        <f t="shared" si="59"/>
        <v>0</v>
      </c>
      <c r="M371" s="286">
        <f t="shared" si="53"/>
        <v>0</v>
      </c>
      <c r="N371" s="285">
        <f t="shared" si="54"/>
        <v>0</v>
      </c>
      <c r="O371" s="427">
        <f t="shared" si="55"/>
        <v>0</v>
      </c>
      <c r="Q371" s="413"/>
      <c r="R371" s="274"/>
      <c r="S371" s="428"/>
      <c r="T371" s="286"/>
      <c r="U371" s="286"/>
      <c r="V371" s="285"/>
      <c r="W371" s="427"/>
    </row>
    <row r="372" spans="1:24" x14ac:dyDescent="0.15">
      <c r="A372" s="398"/>
      <c r="B372" s="272">
        <v>358</v>
      </c>
      <c r="C372" s="278">
        <f t="shared" si="56"/>
        <v>56188</v>
      </c>
      <c r="D372" s="280">
        <f t="shared" si="57"/>
        <v>0</v>
      </c>
      <c r="E372" s="280">
        <f t="shared" si="50"/>
        <v>0</v>
      </c>
      <c r="F372" s="280">
        <f t="shared" si="51"/>
        <v>0</v>
      </c>
      <c r="G372" s="404">
        <f t="shared" si="52"/>
        <v>0</v>
      </c>
      <c r="H372" s="281"/>
      <c r="I372" s="413"/>
      <c r="J372" s="274">
        <v>358</v>
      </c>
      <c r="K372" s="428">
        <f t="shared" si="58"/>
        <v>56188</v>
      </c>
      <c r="L372" s="286">
        <f t="shared" si="59"/>
        <v>0</v>
      </c>
      <c r="M372" s="286">
        <f t="shared" si="53"/>
        <v>0</v>
      </c>
      <c r="N372" s="285">
        <f t="shared" si="54"/>
        <v>0</v>
      </c>
      <c r="O372" s="427">
        <f t="shared" si="55"/>
        <v>0</v>
      </c>
      <c r="Q372" s="413"/>
      <c r="R372" s="274"/>
      <c r="S372" s="428"/>
      <c r="T372" s="286"/>
      <c r="U372" s="286"/>
      <c r="V372" s="285"/>
      <c r="W372" s="427"/>
    </row>
    <row r="373" spans="1:24" x14ac:dyDescent="0.15">
      <c r="A373" s="398"/>
      <c r="B373" s="272">
        <v>359</v>
      </c>
      <c r="C373" s="278">
        <f t="shared" si="56"/>
        <v>56218</v>
      </c>
      <c r="D373" s="280">
        <f t="shared" si="57"/>
        <v>0</v>
      </c>
      <c r="E373" s="280">
        <f t="shared" si="50"/>
        <v>0</v>
      </c>
      <c r="F373" s="280">
        <f t="shared" si="51"/>
        <v>0</v>
      </c>
      <c r="G373" s="404">
        <f t="shared" si="52"/>
        <v>0</v>
      </c>
      <c r="H373" s="281"/>
      <c r="I373" s="413"/>
      <c r="J373" s="274">
        <v>359</v>
      </c>
      <c r="K373" s="428">
        <f t="shared" si="58"/>
        <v>56218</v>
      </c>
      <c r="L373" s="286">
        <f t="shared" si="59"/>
        <v>0</v>
      </c>
      <c r="M373" s="286">
        <f t="shared" si="53"/>
        <v>0</v>
      </c>
      <c r="N373" s="285">
        <f t="shared" si="54"/>
        <v>0</v>
      </c>
      <c r="O373" s="427">
        <f t="shared" si="55"/>
        <v>0</v>
      </c>
      <c r="Q373" s="413"/>
      <c r="R373" s="274"/>
      <c r="S373" s="428"/>
      <c r="T373" s="286"/>
      <c r="U373" s="286"/>
      <c r="V373" s="285"/>
      <c r="W373" s="427"/>
    </row>
    <row r="374" spans="1:24" ht="9.75" thickBot="1" x14ac:dyDescent="0.2">
      <c r="A374" s="411"/>
      <c r="B374" s="290">
        <v>360</v>
      </c>
      <c r="C374" s="291">
        <f t="shared" si="56"/>
        <v>56249</v>
      </c>
      <c r="D374" s="292">
        <f t="shared" si="57"/>
        <v>0</v>
      </c>
      <c r="E374" s="292">
        <f t="shared" si="50"/>
        <v>0</v>
      </c>
      <c r="F374" s="292">
        <f t="shared" si="51"/>
        <v>0</v>
      </c>
      <c r="G374" s="412">
        <f t="shared" si="52"/>
        <v>0</v>
      </c>
      <c r="H374" s="293"/>
      <c r="I374" s="429"/>
      <c r="J374" s="294">
        <v>360</v>
      </c>
      <c r="K374" s="430">
        <f t="shared" si="58"/>
        <v>56249</v>
      </c>
      <c r="L374" s="431">
        <f t="shared" si="59"/>
        <v>0</v>
      </c>
      <c r="M374" s="431">
        <f t="shared" si="53"/>
        <v>0</v>
      </c>
      <c r="N374" s="432">
        <f t="shared" si="54"/>
        <v>0</v>
      </c>
      <c r="O374" s="433">
        <f t="shared" si="55"/>
        <v>0</v>
      </c>
      <c r="P374" s="295"/>
      <c r="Q374" s="429"/>
      <c r="R374" s="294"/>
      <c r="S374" s="430"/>
      <c r="T374" s="431"/>
      <c r="U374" s="431"/>
      <c r="V374" s="432"/>
      <c r="W374" s="433"/>
      <c r="X374" s="295"/>
    </row>
    <row r="375" spans="1:24" hidden="1" x14ac:dyDescent="0.15">
      <c r="A375" s="272"/>
      <c r="B375" s="272"/>
      <c r="C375" s="272"/>
      <c r="D375" s="272"/>
      <c r="E375" s="272"/>
      <c r="F375" s="272"/>
      <c r="G375" s="272"/>
    </row>
    <row r="376" spans="1:24" hidden="1" x14ac:dyDescent="0.15">
      <c r="A376" s="272"/>
      <c r="B376" s="272"/>
      <c r="C376" s="272"/>
      <c r="D376" s="272"/>
      <c r="E376" s="272"/>
      <c r="F376" s="272"/>
      <c r="G376" s="272"/>
    </row>
  </sheetData>
  <mergeCells count="3">
    <mergeCell ref="A3:G3"/>
    <mergeCell ref="I3:O3"/>
    <mergeCell ref="Q3:W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2555-91AD-4A0E-BA17-93E8BA1E9871}">
  <dimension ref="B1:AF136"/>
  <sheetViews>
    <sheetView zoomScale="79" zoomScaleNormal="100" workbookViewId="0">
      <selection activeCell="G15" sqref="G15"/>
    </sheetView>
  </sheetViews>
  <sheetFormatPr defaultColWidth="9.140625" defaultRowHeight="12.75" outlineLevelCol="1" x14ac:dyDescent="0.2"/>
  <cols>
    <col min="1" max="1" width="3.28515625" style="632" customWidth="1"/>
    <col min="2" max="2" width="45.7109375" style="632" customWidth="1"/>
    <col min="3" max="3" width="1.7109375" style="632" customWidth="1"/>
    <col min="4" max="4" width="13.28515625" style="632" customWidth="1"/>
    <col min="5" max="5" width="5.7109375" style="633" customWidth="1"/>
    <col min="6" max="7" width="10.7109375" style="633" customWidth="1"/>
    <col min="8" max="8" width="13.28515625" style="632" customWidth="1"/>
    <col min="9" max="9" width="1.7109375" style="632" customWidth="1"/>
    <col min="10" max="10" width="15.7109375" style="632" customWidth="1"/>
    <col min="11" max="11" width="15.7109375" style="633" customWidth="1"/>
    <col min="12" max="12" width="1.7109375" style="633" customWidth="1"/>
    <col min="13" max="14" width="10.7109375" style="633" customWidth="1"/>
    <col min="15" max="15" width="1.7109375" style="632" hidden="1" customWidth="1" outlineLevel="1"/>
    <col min="16" max="19" width="10.7109375" style="633" hidden="1" customWidth="1" outlineLevel="1"/>
    <col min="20" max="20" width="1.7109375" style="632" customWidth="1" collapsed="1"/>
    <col min="21" max="31" width="15.7109375" style="632" customWidth="1"/>
    <col min="32" max="16384" width="9.140625" style="632"/>
  </cols>
  <sheetData>
    <row r="1" spans="2:32" ht="12.75" customHeight="1" x14ac:dyDescent="0.2"/>
    <row r="2" spans="2:32" ht="12.75" customHeight="1" x14ac:dyDescent="0.2">
      <c r="B2" s="663" t="s">
        <v>295</v>
      </c>
    </row>
    <row r="3" spans="2:32" ht="12.75" customHeight="1" x14ac:dyDescent="0.2">
      <c r="B3" s="632" t="s">
        <v>294</v>
      </c>
      <c r="D3" s="682">
        <v>46944</v>
      </c>
      <c r="E3" s="633" t="s">
        <v>287</v>
      </c>
    </row>
    <row r="4" spans="2:32" ht="12.75" customHeight="1" x14ac:dyDescent="0.2">
      <c r="B4" s="632" t="s">
        <v>293</v>
      </c>
      <c r="D4" s="682">
        <v>590</v>
      </c>
      <c r="E4" s="633" t="s">
        <v>287</v>
      </c>
    </row>
    <row r="5" spans="2:32" ht="12.75" customHeight="1" x14ac:dyDescent="0.2">
      <c r="B5" s="632" t="s">
        <v>292</v>
      </c>
      <c r="D5" s="682">
        <v>78</v>
      </c>
    </row>
    <row r="6" spans="2:32" ht="12.75" customHeight="1" x14ac:dyDescent="0.2">
      <c r="B6" s="632" t="s">
        <v>291</v>
      </c>
      <c r="D6" s="682">
        <v>1</v>
      </c>
    </row>
    <row r="7" spans="2:32" ht="12.75" customHeight="1" x14ac:dyDescent="0.2">
      <c r="B7" s="632" t="s">
        <v>290</v>
      </c>
      <c r="D7" s="682">
        <v>10</v>
      </c>
      <c r="E7" s="633" t="s">
        <v>287</v>
      </c>
    </row>
    <row r="8" spans="2:32" ht="12.75" customHeight="1" x14ac:dyDescent="0.2">
      <c r="B8" s="632" t="s">
        <v>289</v>
      </c>
      <c r="D8" s="682">
        <v>199</v>
      </c>
      <c r="E8" s="643">
        <v>350</v>
      </c>
      <c r="F8" s="681">
        <f>D8*E8</f>
        <v>69650</v>
      </c>
      <c r="G8" s="633" t="s">
        <v>287</v>
      </c>
    </row>
    <row r="9" spans="2:32" ht="12.75" customHeight="1" x14ac:dyDescent="0.2">
      <c r="B9" s="632" t="s">
        <v>288</v>
      </c>
      <c r="D9" s="682">
        <v>0</v>
      </c>
      <c r="E9" s="643">
        <v>350</v>
      </c>
      <c r="F9" s="681">
        <f>D9*E9</f>
        <v>0</v>
      </c>
      <c r="G9" s="633" t="s">
        <v>287</v>
      </c>
    </row>
    <row r="10" spans="2:32" ht="12.75" customHeight="1" x14ac:dyDescent="0.2">
      <c r="E10" s="632"/>
      <c r="F10" s="632"/>
    </row>
    <row r="11" spans="2:32" ht="12.75" customHeight="1" x14ac:dyDescent="0.2">
      <c r="B11" s="680" t="s">
        <v>286</v>
      </c>
      <c r="C11" s="634"/>
      <c r="D11" s="817" t="s">
        <v>285</v>
      </c>
      <c r="E11" s="817"/>
      <c r="F11" s="817"/>
      <c r="G11" s="817"/>
      <c r="H11" s="817"/>
      <c r="J11" s="817" t="s">
        <v>284</v>
      </c>
      <c r="K11" s="817"/>
      <c r="M11" s="817" t="s">
        <v>283</v>
      </c>
      <c r="N11" s="817"/>
      <c r="P11" s="817" t="s">
        <v>282</v>
      </c>
      <c r="Q11" s="817"/>
      <c r="R11" s="817"/>
      <c r="S11" s="817"/>
      <c r="T11" s="634"/>
      <c r="U11" s="679">
        <v>1</v>
      </c>
      <c r="V11" s="679">
        <f t="shared" ref="V11:AE11" si="0">U11+1</f>
        <v>2</v>
      </c>
      <c r="W11" s="679">
        <f t="shared" si="0"/>
        <v>3</v>
      </c>
      <c r="X11" s="679">
        <f t="shared" si="0"/>
        <v>4</v>
      </c>
      <c r="Y11" s="679">
        <f t="shared" si="0"/>
        <v>5</v>
      </c>
      <c r="Z11" s="679">
        <f t="shared" si="0"/>
        <v>6</v>
      </c>
      <c r="AA11" s="679">
        <f t="shared" si="0"/>
        <v>7</v>
      </c>
      <c r="AB11" s="679">
        <f t="shared" si="0"/>
        <v>8</v>
      </c>
      <c r="AC11" s="679">
        <f t="shared" si="0"/>
        <v>9</v>
      </c>
      <c r="AD11" s="679">
        <f t="shared" si="0"/>
        <v>10</v>
      </c>
      <c r="AE11" s="679">
        <f t="shared" si="0"/>
        <v>11</v>
      </c>
    </row>
    <row r="12" spans="2:32" ht="24.95" customHeight="1" x14ac:dyDescent="0.2">
      <c r="B12" s="678" t="s">
        <v>281</v>
      </c>
      <c r="C12" s="634"/>
      <c r="D12" s="677" t="s">
        <v>280</v>
      </c>
      <c r="E12" s="677" t="s">
        <v>279</v>
      </c>
      <c r="F12" s="677" t="s">
        <v>278</v>
      </c>
      <c r="G12" s="677" t="s">
        <v>277</v>
      </c>
      <c r="H12" s="674" t="s">
        <v>276</v>
      </c>
      <c r="I12" s="676"/>
      <c r="J12" s="674" t="s">
        <v>275</v>
      </c>
      <c r="K12" s="674" t="s">
        <v>274</v>
      </c>
      <c r="L12" s="676"/>
      <c r="M12" s="674" t="s">
        <v>273</v>
      </c>
      <c r="N12" s="674" t="s">
        <v>272</v>
      </c>
      <c r="O12" s="675"/>
      <c r="P12" s="674" t="s">
        <v>273</v>
      </c>
      <c r="Q12" s="674" t="s">
        <v>272</v>
      </c>
      <c r="R12" s="674" t="s">
        <v>271</v>
      </c>
      <c r="S12" s="674" t="s">
        <v>270</v>
      </c>
      <c r="T12" s="634"/>
      <c r="U12" s="673">
        <v>2024</v>
      </c>
      <c r="V12" s="672">
        <f t="shared" ref="V12:AE12" si="1">U12+1</f>
        <v>2025</v>
      </c>
      <c r="W12" s="672">
        <f t="shared" si="1"/>
        <v>2026</v>
      </c>
      <c r="X12" s="672">
        <f t="shared" si="1"/>
        <v>2027</v>
      </c>
      <c r="Y12" s="672">
        <f t="shared" si="1"/>
        <v>2028</v>
      </c>
      <c r="Z12" s="672">
        <f t="shared" si="1"/>
        <v>2029</v>
      </c>
      <c r="AA12" s="672">
        <f t="shared" si="1"/>
        <v>2030</v>
      </c>
      <c r="AB12" s="672">
        <f t="shared" si="1"/>
        <v>2031</v>
      </c>
      <c r="AC12" s="672">
        <f t="shared" si="1"/>
        <v>2032</v>
      </c>
      <c r="AD12" s="672">
        <f t="shared" si="1"/>
        <v>2033</v>
      </c>
      <c r="AE12" s="672">
        <f t="shared" si="1"/>
        <v>2034</v>
      </c>
    </row>
    <row r="13" spans="2:32" ht="12.75" customHeight="1" x14ac:dyDescent="0.2">
      <c r="B13" s="671"/>
      <c r="C13" s="634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1"/>
      <c r="P13" s="670"/>
      <c r="Q13" s="670"/>
      <c r="R13" s="670"/>
      <c r="S13" s="670"/>
      <c r="T13" s="634"/>
      <c r="AF13" s="632" t="s">
        <v>232</v>
      </c>
    </row>
    <row r="14" spans="2:32" ht="12.75" customHeight="1" x14ac:dyDescent="0.2">
      <c r="B14" s="663" t="s">
        <v>269</v>
      </c>
      <c r="C14" s="634"/>
      <c r="D14" s="663"/>
      <c r="E14" s="669"/>
      <c r="F14" s="669"/>
      <c r="G14" s="669"/>
      <c r="H14" s="663"/>
      <c r="I14" s="663"/>
      <c r="J14" s="663"/>
      <c r="K14" s="669"/>
      <c r="L14" s="669"/>
      <c r="M14" s="669"/>
      <c r="N14" s="669"/>
      <c r="O14" s="662"/>
      <c r="P14" s="669"/>
      <c r="Q14" s="669"/>
      <c r="R14" s="669"/>
      <c r="S14" s="668"/>
      <c r="T14" s="634"/>
      <c r="U14" s="662"/>
      <c r="V14" s="662"/>
      <c r="W14" s="662"/>
      <c r="X14" s="662"/>
      <c r="Y14" s="662"/>
      <c r="Z14" s="662"/>
      <c r="AA14" s="662"/>
      <c r="AB14" s="662"/>
      <c r="AC14" s="662"/>
      <c r="AD14" s="662"/>
      <c r="AE14" s="662"/>
      <c r="AF14" s="632" t="s">
        <v>232</v>
      </c>
    </row>
    <row r="15" spans="2:32" ht="12.75" customHeight="1" x14ac:dyDescent="0.2">
      <c r="B15" s="632" t="s">
        <v>268</v>
      </c>
      <c r="C15" s="634"/>
      <c r="D15" s="647">
        <v>0.25</v>
      </c>
      <c r="E15" s="643" t="s">
        <v>236</v>
      </c>
      <c r="F15" s="646">
        <v>69650</v>
      </c>
      <c r="G15" s="645">
        <v>0.5</v>
      </c>
      <c r="H15" s="644">
        <f>D15*F15*(1+G15)</f>
        <v>26118.75</v>
      </c>
      <c r="I15" s="634"/>
      <c r="J15" s="643">
        <v>2024</v>
      </c>
      <c r="K15" s="640">
        <v>5</v>
      </c>
      <c r="L15" s="634"/>
      <c r="M15" s="641">
        <f>J15+K15</f>
        <v>2029</v>
      </c>
      <c r="N15" s="639">
        <f>IFERROR(INDEX($U$11:$AE$11,,MATCH($M15,$U$12:$AE$12,0)),"N/A")</f>
        <v>6</v>
      </c>
      <c r="O15" s="634"/>
      <c r="P15" s="642"/>
      <c r="Q15" s="641" t="str">
        <f>IFERROR(INDEX($U$12:$AE$12,,MATCH(P15,$U$11:$AE$11,0)),"N/A")</f>
        <v>N/A</v>
      </c>
      <c r="R15" s="640"/>
      <c r="S15" s="639">
        <f>P15+R15</f>
        <v>0</v>
      </c>
      <c r="T15" s="634"/>
      <c r="U15" s="648">
        <v>0</v>
      </c>
      <c r="V15" s="648">
        <v>0</v>
      </c>
      <c r="W15" s="648">
        <v>0</v>
      </c>
      <c r="X15" s="648">
        <v>0</v>
      </c>
      <c r="Y15" s="648">
        <v>0</v>
      </c>
      <c r="Z15" s="772">
        <f>H15</f>
        <v>26118.75</v>
      </c>
      <c r="AA15" s="648">
        <v>0</v>
      </c>
      <c r="AB15" s="648">
        <v>0</v>
      </c>
      <c r="AC15" s="648">
        <v>0</v>
      </c>
      <c r="AD15" s="648">
        <v>0</v>
      </c>
      <c r="AE15" s="648">
        <v>0</v>
      </c>
      <c r="AF15" s="632" t="s">
        <v>232</v>
      </c>
    </row>
    <row r="16" spans="2:32" ht="12.75" customHeight="1" x14ac:dyDescent="0.2">
      <c r="B16" s="632" t="s">
        <v>267</v>
      </c>
      <c r="C16" s="634"/>
      <c r="D16" s="647">
        <v>7.5</v>
      </c>
      <c r="E16" s="643" t="s">
        <v>236</v>
      </c>
      <c r="F16" s="646">
        <v>69650</v>
      </c>
      <c r="G16" s="645">
        <v>0.5</v>
      </c>
      <c r="H16" s="644">
        <f>D16*F16*(1+G16)</f>
        <v>783562.5</v>
      </c>
      <c r="I16" s="634"/>
      <c r="J16" s="643">
        <v>2022</v>
      </c>
      <c r="K16" s="640">
        <v>10</v>
      </c>
      <c r="L16" s="634"/>
      <c r="M16" s="641">
        <f>J16+K16</f>
        <v>2032</v>
      </c>
      <c r="N16" s="639">
        <f>IFERROR(INDEX($U$11:$AE$11,,MATCH($M16,$U$12:$AE$12,0)),"N/A")</f>
        <v>9</v>
      </c>
      <c r="O16" s="634"/>
      <c r="P16" s="642"/>
      <c r="Q16" s="641" t="str">
        <f>IFERROR(INDEX($U$12:$AE$12,,MATCH(P16,$U$11:$AE$11,0)),"N/A")</f>
        <v>N/A</v>
      </c>
      <c r="R16" s="640"/>
      <c r="S16" s="639">
        <f>P16+R16</f>
        <v>0</v>
      </c>
      <c r="T16" s="634"/>
      <c r="U16" s="772">
        <f>H16</f>
        <v>783562.5</v>
      </c>
      <c r="V16" s="648">
        <v>0</v>
      </c>
      <c r="W16" s="648">
        <v>0</v>
      </c>
      <c r="X16" s="648">
        <v>0</v>
      </c>
      <c r="Y16" s="648">
        <v>0</v>
      </c>
      <c r="Z16" s="648">
        <v>0</v>
      </c>
      <c r="AA16" s="648">
        <v>0</v>
      </c>
      <c r="AB16" s="648">
        <v>0</v>
      </c>
      <c r="AC16" s="648">
        <v>0</v>
      </c>
      <c r="AD16" s="648">
        <v>0</v>
      </c>
      <c r="AE16" s="648">
        <v>0</v>
      </c>
      <c r="AF16" s="632" t="s">
        <v>232</v>
      </c>
    </row>
    <row r="17" spans="2:32" ht="12.75" customHeight="1" x14ac:dyDescent="0.2">
      <c r="B17" s="636" t="s">
        <v>266</v>
      </c>
      <c r="C17" s="634"/>
      <c r="T17" s="634"/>
      <c r="U17" s="638">
        <f t="shared" ref="U17:AE17" si="2">SUM(U15:U16)</f>
        <v>783562.5</v>
      </c>
      <c r="V17" s="638">
        <f t="shared" si="2"/>
        <v>0</v>
      </c>
      <c r="W17" s="638">
        <f t="shared" si="2"/>
        <v>0</v>
      </c>
      <c r="X17" s="638">
        <f t="shared" si="2"/>
        <v>0</v>
      </c>
      <c r="Y17" s="638">
        <f t="shared" si="2"/>
        <v>0</v>
      </c>
      <c r="Z17" s="638">
        <f t="shared" si="2"/>
        <v>26118.75</v>
      </c>
      <c r="AA17" s="638">
        <f t="shared" si="2"/>
        <v>0</v>
      </c>
      <c r="AB17" s="638">
        <f t="shared" si="2"/>
        <v>0</v>
      </c>
      <c r="AC17" s="638">
        <f t="shared" si="2"/>
        <v>0</v>
      </c>
      <c r="AD17" s="638">
        <f t="shared" si="2"/>
        <v>0</v>
      </c>
      <c r="AE17" s="638">
        <f t="shared" si="2"/>
        <v>0</v>
      </c>
      <c r="AF17" s="632" t="s">
        <v>232</v>
      </c>
    </row>
    <row r="18" spans="2:32" ht="12.75" customHeight="1" x14ac:dyDescent="0.2">
      <c r="C18" s="634"/>
      <c r="T18" s="634"/>
      <c r="U18" s="648"/>
      <c r="V18" s="648"/>
      <c r="W18" s="648"/>
      <c r="X18" s="648"/>
      <c r="Y18" s="648"/>
      <c r="Z18" s="648"/>
      <c r="AA18" s="648"/>
      <c r="AB18" s="648"/>
      <c r="AC18" s="648"/>
      <c r="AD18" s="648"/>
      <c r="AE18" s="648"/>
      <c r="AF18" s="632" t="s">
        <v>232</v>
      </c>
    </row>
    <row r="19" spans="2:32" ht="12.75" customHeight="1" x14ac:dyDescent="0.2">
      <c r="B19" s="663" t="s">
        <v>265</v>
      </c>
      <c r="C19" s="634"/>
      <c r="D19" s="658"/>
      <c r="E19" s="654"/>
      <c r="F19" s="657"/>
      <c r="G19" s="656"/>
      <c r="H19" s="655"/>
      <c r="I19" s="662"/>
      <c r="J19" s="654"/>
      <c r="K19" s="650"/>
      <c r="L19" s="650"/>
      <c r="M19" s="651"/>
      <c r="N19" s="649"/>
      <c r="O19" s="662"/>
      <c r="P19" s="652"/>
      <c r="Q19" s="651"/>
      <c r="R19" s="650"/>
      <c r="S19" s="649"/>
      <c r="T19" s="634"/>
      <c r="U19" s="661"/>
      <c r="V19" s="661"/>
      <c r="W19" s="661"/>
      <c r="X19" s="661"/>
      <c r="Y19" s="661"/>
      <c r="Z19" s="661"/>
      <c r="AA19" s="661"/>
      <c r="AB19" s="661"/>
      <c r="AC19" s="661"/>
      <c r="AD19" s="661"/>
      <c r="AE19" s="661"/>
      <c r="AF19" s="632" t="s">
        <v>232</v>
      </c>
    </row>
    <row r="20" spans="2:32" ht="12.75" customHeight="1" x14ac:dyDescent="0.2">
      <c r="B20" s="632" t="s">
        <v>264</v>
      </c>
      <c r="C20" s="634"/>
      <c r="D20" s="647">
        <v>20000</v>
      </c>
      <c r="E20" s="643" t="s">
        <v>239</v>
      </c>
      <c r="F20" s="646">
        <v>0</v>
      </c>
      <c r="G20" s="645">
        <v>0</v>
      </c>
      <c r="H20" s="644">
        <f>D20*F20*(1+G20)</f>
        <v>0</v>
      </c>
      <c r="I20" s="634"/>
      <c r="J20" s="643">
        <v>2022</v>
      </c>
      <c r="K20" s="640">
        <v>7</v>
      </c>
      <c r="L20" s="634"/>
      <c r="M20" s="641">
        <f>J20+K20</f>
        <v>2029</v>
      </c>
      <c r="N20" s="639">
        <f>IFERROR(INDEX($U$11:$AE$11,,MATCH($M20,$U$12:$AE$12,0)),"N/A")</f>
        <v>6</v>
      </c>
      <c r="O20" s="634"/>
      <c r="P20" s="642"/>
      <c r="Q20" s="641" t="str">
        <f>IFERROR(INDEX($U$12:$AE$12,,MATCH(P20,$U$11:$AE$11,0)),"N/A")</f>
        <v>N/A</v>
      </c>
      <c r="R20" s="640"/>
      <c r="S20" s="639">
        <f>P20+R20</f>
        <v>0</v>
      </c>
      <c r="T20" s="634"/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0</v>
      </c>
      <c r="AC20" s="648">
        <v>0</v>
      </c>
      <c r="AD20" s="648">
        <v>0</v>
      </c>
      <c r="AE20" s="648">
        <v>0</v>
      </c>
      <c r="AF20" s="632" t="s">
        <v>232</v>
      </c>
    </row>
    <row r="21" spans="2:32" ht="12.75" customHeight="1" x14ac:dyDescent="0.2">
      <c r="B21" s="632" t="s">
        <v>263</v>
      </c>
      <c r="C21" s="634"/>
      <c r="D21" s="647">
        <v>5000</v>
      </c>
      <c r="E21" s="643" t="s">
        <v>239</v>
      </c>
      <c r="F21" s="646">
        <v>0</v>
      </c>
      <c r="G21" s="645">
        <v>0</v>
      </c>
      <c r="H21" s="644">
        <f>D21*F21*(1+G21)</f>
        <v>0</v>
      </c>
      <c r="I21" s="634"/>
      <c r="J21" s="643">
        <v>2022</v>
      </c>
      <c r="K21" s="640">
        <v>10</v>
      </c>
      <c r="L21" s="634"/>
      <c r="M21" s="641">
        <f>J21+K21</f>
        <v>2032</v>
      </c>
      <c r="N21" s="639">
        <f>IFERROR(INDEX($U$11:$AE$11,,MATCH($M21,$U$12:$AE$12,0)),"N/A")</f>
        <v>9</v>
      </c>
      <c r="O21" s="634"/>
      <c r="P21" s="642"/>
      <c r="Q21" s="641" t="str">
        <f>IFERROR(INDEX($U$12:$AE$12,,MATCH(P21,$U$11:$AE$11,0)),"N/A")</f>
        <v>N/A</v>
      </c>
      <c r="R21" s="640"/>
      <c r="S21" s="639">
        <f>P21+R21</f>
        <v>0</v>
      </c>
      <c r="T21" s="634"/>
      <c r="U21" s="648">
        <v>0</v>
      </c>
      <c r="V21" s="648">
        <v>0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0</v>
      </c>
      <c r="AD21" s="648">
        <v>0</v>
      </c>
      <c r="AE21" s="648">
        <v>0</v>
      </c>
      <c r="AF21" s="632" t="s">
        <v>232</v>
      </c>
    </row>
    <row r="22" spans="2:32" ht="12.75" customHeight="1" x14ac:dyDescent="0.2">
      <c r="B22" s="632" t="s">
        <v>262</v>
      </c>
      <c r="C22" s="634"/>
      <c r="D22" s="647">
        <v>5000</v>
      </c>
      <c r="E22" s="643" t="s">
        <v>239</v>
      </c>
      <c r="F22" s="646">
        <v>0</v>
      </c>
      <c r="G22" s="645">
        <v>0</v>
      </c>
      <c r="H22" s="644">
        <f>D22*F22*(1+G22)</f>
        <v>0</v>
      </c>
      <c r="I22" s="634"/>
      <c r="J22" s="643">
        <v>2022</v>
      </c>
      <c r="K22" s="640">
        <v>10</v>
      </c>
      <c r="L22" s="634"/>
      <c r="M22" s="641">
        <f>J22+K22</f>
        <v>2032</v>
      </c>
      <c r="N22" s="639">
        <f>IFERROR(INDEX($U$11:$AE$11,,MATCH($M22,$U$12:$AE$12,0)),"N/A")</f>
        <v>9</v>
      </c>
      <c r="O22" s="634"/>
      <c r="P22" s="642"/>
      <c r="Q22" s="641" t="str">
        <f>IFERROR(INDEX($U$12:$AE$12,,MATCH(P22,$U$11:$AE$11,0)),"N/A")</f>
        <v>N/A</v>
      </c>
      <c r="R22" s="640"/>
      <c r="S22" s="639">
        <f>P22+R22</f>
        <v>0</v>
      </c>
      <c r="T22" s="634"/>
      <c r="U22" s="648">
        <v>0</v>
      </c>
      <c r="V22" s="648">
        <v>0</v>
      </c>
      <c r="W22" s="648">
        <v>0</v>
      </c>
      <c r="X22" s="648">
        <v>0</v>
      </c>
      <c r="Y22" s="648">
        <v>0</v>
      </c>
      <c r="Z22" s="648">
        <v>0</v>
      </c>
      <c r="AA22" s="648">
        <v>0</v>
      </c>
      <c r="AB22" s="648">
        <v>0</v>
      </c>
      <c r="AC22" s="648">
        <v>0</v>
      </c>
      <c r="AD22" s="648">
        <v>0</v>
      </c>
      <c r="AE22" s="648">
        <v>0</v>
      </c>
      <c r="AF22" s="632" t="s">
        <v>232</v>
      </c>
    </row>
    <row r="23" spans="2:32" ht="12.75" customHeight="1" x14ac:dyDescent="0.2">
      <c r="B23" s="636" t="s">
        <v>261</v>
      </c>
      <c r="C23" s="634"/>
      <c r="D23" s="647"/>
      <c r="E23" s="643"/>
      <c r="F23" s="646"/>
      <c r="G23" s="645"/>
      <c r="H23" s="644"/>
      <c r="J23" s="643"/>
      <c r="K23" s="640"/>
      <c r="L23" s="640"/>
      <c r="M23" s="641"/>
      <c r="N23" s="639"/>
      <c r="P23" s="642"/>
      <c r="Q23" s="641"/>
      <c r="R23" s="640"/>
      <c r="S23" s="639"/>
      <c r="T23" s="634"/>
      <c r="U23" s="638">
        <f t="shared" ref="U23:AE23" si="3">SUM(U20:U22)</f>
        <v>0</v>
      </c>
      <c r="V23" s="638">
        <f t="shared" si="3"/>
        <v>0</v>
      </c>
      <c r="W23" s="638">
        <f t="shared" si="3"/>
        <v>0</v>
      </c>
      <c r="X23" s="638">
        <f t="shared" si="3"/>
        <v>0</v>
      </c>
      <c r="Y23" s="638">
        <f t="shared" si="3"/>
        <v>0</v>
      </c>
      <c r="Z23" s="638">
        <f t="shared" si="3"/>
        <v>0</v>
      </c>
      <c r="AA23" s="638">
        <f t="shared" si="3"/>
        <v>0</v>
      </c>
      <c r="AB23" s="638">
        <f t="shared" si="3"/>
        <v>0</v>
      </c>
      <c r="AC23" s="638">
        <f t="shared" si="3"/>
        <v>0</v>
      </c>
      <c r="AD23" s="638">
        <f t="shared" si="3"/>
        <v>0</v>
      </c>
      <c r="AE23" s="638">
        <f t="shared" si="3"/>
        <v>0</v>
      </c>
      <c r="AF23" s="632" t="s">
        <v>232</v>
      </c>
    </row>
    <row r="24" spans="2:32" ht="12.75" customHeight="1" x14ac:dyDescent="0.2">
      <c r="B24" s="636"/>
      <c r="C24" s="634"/>
      <c r="D24" s="647"/>
      <c r="E24" s="643"/>
      <c r="F24" s="646"/>
      <c r="G24" s="645"/>
      <c r="H24" s="644"/>
      <c r="J24" s="643"/>
      <c r="K24" s="640"/>
      <c r="L24" s="640"/>
      <c r="M24" s="641"/>
      <c r="N24" s="639"/>
      <c r="P24" s="642"/>
      <c r="Q24" s="641"/>
      <c r="R24" s="640"/>
      <c r="S24" s="639"/>
      <c r="T24" s="63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</row>
    <row r="25" spans="2:32" ht="12.75" customHeight="1" x14ac:dyDescent="0.2">
      <c r="B25" s="663" t="s">
        <v>260</v>
      </c>
      <c r="C25" s="634"/>
      <c r="D25" s="658"/>
      <c r="E25" s="654"/>
      <c r="F25" s="657"/>
      <c r="G25" s="656"/>
      <c r="H25" s="655"/>
      <c r="I25" s="662"/>
      <c r="J25" s="654"/>
      <c r="K25" s="650"/>
      <c r="L25" s="650"/>
      <c r="M25" s="651"/>
      <c r="N25" s="649"/>
      <c r="O25" s="662"/>
      <c r="P25" s="652"/>
      <c r="Q25" s="651"/>
      <c r="R25" s="650"/>
      <c r="S25" s="649"/>
      <c r="T25" s="634"/>
      <c r="U25" s="661"/>
      <c r="V25" s="661"/>
      <c r="W25" s="661"/>
      <c r="X25" s="661"/>
      <c r="Y25" s="661"/>
      <c r="Z25" s="661"/>
      <c r="AA25" s="661"/>
      <c r="AB25" s="661"/>
      <c r="AC25" s="661"/>
      <c r="AD25" s="661"/>
      <c r="AE25" s="661"/>
      <c r="AF25" s="632" t="s">
        <v>232</v>
      </c>
    </row>
    <row r="26" spans="2:32" ht="12.75" customHeight="1" x14ac:dyDescent="0.2">
      <c r="B26" s="632" t="s">
        <v>259</v>
      </c>
      <c r="C26" s="634"/>
      <c r="D26" s="647">
        <f>2.85</f>
        <v>2.85</v>
      </c>
      <c r="E26" s="643" t="s">
        <v>236</v>
      </c>
      <c r="F26" s="646">
        <v>46944</v>
      </c>
      <c r="G26" s="645">
        <v>0.35</v>
      </c>
      <c r="H26" s="644">
        <f>D26*(F26*1.5)*(1+G26)</f>
        <v>270925.56</v>
      </c>
      <c r="I26" s="634"/>
      <c r="J26" s="643">
        <v>2022</v>
      </c>
      <c r="K26" s="640">
        <v>15</v>
      </c>
      <c r="L26" s="634"/>
      <c r="M26" s="641">
        <f t="shared" ref="M26:M28" si="4">J26+K26</f>
        <v>2037</v>
      </c>
      <c r="N26" s="639" t="str">
        <f t="shared" ref="N26:N28" si="5">IFERROR(INDEX($U$11:$AE$11,,MATCH($M26,$U$12:$AE$12,0)),"N/A")</f>
        <v>N/A</v>
      </c>
      <c r="O26" s="634"/>
      <c r="P26" s="642"/>
      <c r="Q26" s="641" t="str">
        <f t="shared" ref="Q26:Q28" si="6">IFERROR(INDEX($U$12:$AE$12,,MATCH(P26,$U$11:$AE$11,0)),"N/A")</f>
        <v>N/A</v>
      </c>
      <c r="R26" s="640"/>
      <c r="S26" s="639">
        <f t="shared" ref="S26:S28" si="7">P26+R26</f>
        <v>0</v>
      </c>
      <c r="T26" s="634"/>
      <c r="U26" s="772">
        <f>H26</f>
        <v>270925.56</v>
      </c>
      <c r="V26" s="648">
        <v>0</v>
      </c>
      <c r="W26" s="648">
        <v>0</v>
      </c>
      <c r="X26" s="648">
        <v>0</v>
      </c>
      <c r="Y26" s="648">
        <v>0</v>
      </c>
      <c r="Z26" s="648">
        <v>0</v>
      </c>
      <c r="AA26" s="648">
        <v>0</v>
      </c>
      <c r="AB26" s="648">
        <v>0</v>
      </c>
      <c r="AC26" s="648">
        <v>0</v>
      </c>
      <c r="AD26" s="648">
        <v>0</v>
      </c>
      <c r="AE26" s="648">
        <v>0</v>
      </c>
      <c r="AF26" s="632" t="s">
        <v>232</v>
      </c>
    </row>
    <row r="27" spans="2:32" ht="12.75" customHeight="1" x14ac:dyDescent="0.2">
      <c r="B27" s="632" t="s">
        <v>258</v>
      </c>
      <c r="C27" s="634"/>
      <c r="D27" s="647">
        <v>12</v>
      </c>
      <c r="E27" s="643" t="s">
        <v>236</v>
      </c>
      <c r="F27" s="646">
        <v>0</v>
      </c>
      <c r="G27" s="645">
        <v>0</v>
      </c>
      <c r="H27" s="644">
        <f>D27*(F27*1.5)*(1+G27)</f>
        <v>0</v>
      </c>
      <c r="I27" s="634"/>
      <c r="J27" s="643">
        <v>2022</v>
      </c>
      <c r="K27" s="640">
        <v>20</v>
      </c>
      <c r="L27" s="634"/>
      <c r="M27" s="641">
        <f t="shared" si="4"/>
        <v>2042</v>
      </c>
      <c r="N27" s="639" t="str">
        <f t="shared" si="5"/>
        <v>N/A</v>
      </c>
      <c r="O27" s="634"/>
      <c r="P27" s="642"/>
      <c r="Q27" s="641" t="str">
        <f t="shared" si="6"/>
        <v>N/A</v>
      </c>
      <c r="R27" s="640"/>
      <c r="S27" s="639">
        <f t="shared" si="7"/>
        <v>0</v>
      </c>
      <c r="T27" s="634"/>
      <c r="U27" s="648">
        <v>0</v>
      </c>
      <c r="V27" s="648">
        <v>0</v>
      </c>
      <c r="W27" s="648">
        <v>0</v>
      </c>
      <c r="X27" s="648">
        <v>0</v>
      </c>
      <c r="Y27" s="648">
        <v>0</v>
      </c>
      <c r="Z27" s="648">
        <v>0</v>
      </c>
      <c r="AA27" s="648">
        <v>0</v>
      </c>
      <c r="AB27" s="648">
        <v>0</v>
      </c>
      <c r="AC27" s="648">
        <v>0</v>
      </c>
      <c r="AD27" s="648">
        <v>0</v>
      </c>
      <c r="AE27" s="648">
        <v>0</v>
      </c>
      <c r="AF27" s="632" t="s">
        <v>232</v>
      </c>
    </row>
    <row r="28" spans="2:32" ht="12.75" customHeight="1" x14ac:dyDescent="0.2">
      <c r="B28" s="632" t="s">
        <v>257</v>
      </c>
      <c r="C28" s="634"/>
      <c r="D28" s="647">
        <v>8</v>
      </c>
      <c r="E28" s="643" t="s">
        <v>236</v>
      </c>
      <c r="F28" s="646">
        <v>0</v>
      </c>
      <c r="G28" s="645">
        <v>0</v>
      </c>
      <c r="H28" s="644">
        <f t="shared" ref="H28" si="8">D28*F28*(1+G28)</f>
        <v>0</v>
      </c>
      <c r="I28" s="634"/>
      <c r="J28" s="643">
        <v>2022</v>
      </c>
      <c r="K28" s="640">
        <v>15</v>
      </c>
      <c r="L28" s="634"/>
      <c r="M28" s="641">
        <f t="shared" si="4"/>
        <v>2037</v>
      </c>
      <c r="N28" s="639" t="str">
        <f t="shared" si="5"/>
        <v>N/A</v>
      </c>
      <c r="O28" s="634"/>
      <c r="P28" s="642"/>
      <c r="Q28" s="641" t="str">
        <f t="shared" si="6"/>
        <v>N/A</v>
      </c>
      <c r="R28" s="640"/>
      <c r="S28" s="639">
        <f t="shared" si="7"/>
        <v>0</v>
      </c>
      <c r="T28" s="634"/>
      <c r="U28" s="648">
        <v>0</v>
      </c>
      <c r="V28" s="648">
        <v>0</v>
      </c>
      <c r="W28" s="648">
        <v>0</v>
      </c>
      <c r="X28" s="648">
        <v>0</v>
      </c>
      <c r="Y28" s="648">
        <v>0</v>
      </c>
      <c r="Z28" s="648">
        <v>0</v>
      </c>
      <c r="AA28" s="648">
        <v>0</v>
      </c>
      <c r="AB28" s="648">
        <v>0</v>
      </c>
      <c r="AC28" s="648">
        <v>0</v>
      </c>
      <c r="AD28" s="648">
        <v>0</v>
      </c>
      <c r="AE28" s="648">
        <v>0</v>
      </c>
      <c r="AF28" s="632" t="s">
        <v>232</v>
      </c>
    </row>
    <row r="29" spans="2:32" ht="12.75" customHeight="1" x14ac:dyDescent="0.2">
      <c r="B29" s="636" t="s">
        <v>256</v>
      </c>
      <c r="C29" s="634"/>
      <c r="D29" s="647"/>
      <c r="E29" s="643"/>
      <c r="F29" s="646"/>
      <c r="G29" s="645"/>
      <c r="H29" s="644"/>
      <c r="J29" s="643"/>
      <c r="K29" s="640"/>
      <c r="L29" s="640"/>
      <c r="M29" s="641"/>
      <c r="N29" s="639"/>
      <c r="P29" s="642"/>
      <c r="Q29" s="641"/>
      <c r="R29" s="640"/>
      <c r="S29" s="639"/>
      <c r="T29" s="634"/>
      <c r="U29" s="638">
        <f>SUM(U26:U28)</f>
        <v>270925.56</v>
      </c>
      <c r="V29" s="638">
        <f t="shared" ref="V29:AE29" si="9">SUM(V26:V28)</f>
        <v>0</v>
      </c>
      <c r="W29" s="638">
        <f t="shared" si="9"/>
        <v>0</v>
      </c>
      <c r="X29" s="638">
        <f t="shared" si="9"/>
        <v>0</v>
      </c>
      <c r="Y29" s="638">
        <f t="shared" si="9"/>
        <v>0</v>
      </c>
      <c r="Z29" s="638">
        <f t="shared" si="9"/>
        <v>0</v>
      </c>
      <c r="AA29" s="638">
        <f t="shared" si="9"/>
        <v>0</v>
      </c>
      <c r="AB29" s="638">
        <f t="shared" si="9"/>
        <v>0</v>
      </c>
      <c r="AC29" s="638">
        <f t="shared" si="9"/>
        <v>0</v>
      </c>
      <c r="AD29" s="638">
        <f t="shared" si="9"/>
        <v>0</v>
      </c>
      <c r="AE29" s="638">
        <f t="shared" si="9"/>
        <v>0</v>
      </c>
      <c r="AF29" s="632" t="s">
        <v>232</v>
      </c>
    </row>
    <row r="30" spans="2:32" ht="12.75" customHeight="1" x14ac:dyDescent="0.2">
      <c r="C30" s="634"/>
      <c r="D30" s="647"/>
      <c r="E30" s="643"/>
      <c r="F30" s="646"/>
      <c r="G30" s="645"/>
      <c r="H30" s="644"/>
      <c r="J30" s="643"/>
      <c r="K30" s="640"/>
      <c r="L30" s="640"/>
      <c r="M30" s="641"/>
      <c r="N30" s="639"/>
      <c r="P30" s="642"/>
      <c r="Q30" s="641"/>
      <c r="R30" s="640"/>
      <c r="S30" s="639"/>
      <c r="T30" s="634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32" t="s">
        <v>232</v>
      </c>
    </row>
    <row r="31" spans="2:32" ht="12.75" customHeight="1" x14ac:dyDescent="0.2">
      <c r="B31" s="663" t="s">
        <v>255</v>
      </c>
      <c r="C31" s="634"/>
      <c r="D31" s="658"/>
      <c r="E31" s="654"/>
      <c r="F31" s="657"/>
      <c r="G31" s="656"/>
      <c r="H31" s="655"/>
      <c r="I31" s="662"/>
      <c r="J31" s="654"/>
      <c r="K31" s="650"/>
      <c r="L31" s="650"/>
      <c r="M31" s="651"/>
      <c r="N31" s="649"/>
      <c r="O31" s="662"/>
      <c r="P31" s="652"/>
      <c r="Q31" s="651"/>
      <c r="R31" s="650"/>
      <c r="S31" s="649"/>
      <c r="T31" s="634"/>
      <c r="U31" s="661"/>
      <c r="V31" s="661"/>
      <c r="W31" s="661"/>
      <c r="X31" s="661"/>
      <c r="Y31" s="661"/>
      <c r="Z31" s="661"/>
      <c r="AA31" s="661"/>
      <c r="AB31" s="661"/>
      <c r="AC31" s="661"/>
      <c r="AD31" s="661"/>
      <c r="AE31" s="661"/>
      <c r="AF31" s="632" t="s">
        <v>232</v>
      </c>
    </row>
    <row r="32" spans="2:32" ht="12.75" customHeight="1" x14ac:dyDescent="0.2">
      <c r="B32" s="632" t="s">
        <v>254</v>
      </c>
      <c r="C32" s="634"/>
      <c r="D32" s="647">
        <v>800</v>
      </c>
      <c r="E32" s="643" t="s">
        <v>249</v>
      </c>
      <c r="F32" s="646">
        <v>0</v>
      </c>
      <c r="G32" s="645">
        <v>0</v>
      </c>
      <c r="H32" s="644">
        <f t="shared" ref="H32:H36" si="10">D32*F32*(1+G32)</f>
        <v>0</v>
      </c>
      <c r="I32" s="634"/>
      <c r="J32" s="643">
        <v>2022</v>
      </c>
      <c r="K32" s="640">
        <v>5</v>
      </c>
      <c r="L32" s="634"/>
      <c r="M32" s="641">
        <f t="shared" ref="M32:M36" si="11">J32+K32</f>
        <v>2027</v>
      </c>
      <c r="N32" s="639">
        <f t="shared" ref="N32:N36" si="12">IFERROR(INDEX($U$11:$AE$11,,MATCH($M32,$U$12:$AE$12,0)),"N/A")</f>
        <v>4</v>
      </c>
      <c r="O32" s="634"/>
      <c r="P32" s="642"/>
      <c r="Q32" s="641" t="str">
        <f t="shared" ref="Q32:Q36" si="13">IFERROR(INDEX($U$12:$AE$12,,MATCH(P32,$U$11:$AE$11,0)),"N/A")</f>
        <v>N/A</v>
      </c>
      <c r="R32" s="640"/>
      <c r="S32" s="639">
        <f t="shared" ref="S32:S36" si="14">P32+R32</f>
        <v>0</v>
      </c>
      <c r="T32" s="634"/>
      <c r="U32" s="648">
        <v>0</v>
      </c>
      <c r="V32" s="648">
        <v>0</v>
      </c>
      <c r="W32" s="648">
        <v>0</v>
      </c>
      <c r="X32" s="648">
        <v>0</v>
      </c>
      <c r="Y32" s="648">
        <v>0</v>
      </c>
      <c r="Z32" s="648">
        <v>0</v>
      </c>
      <c r="AA32" s="648">
        <v>0</v>
      </c>
      <c r="AB32" s="648">
        <v>0</v>
      </c>
      <c r="AC32" s="648">
        <v>0</v>
      </c>
      <c r="AD32" s="648">
        <v>0</v>
      </c>
      <c r="AE32" s="648">
        <v>0</v>
      </c>
      <c r="AF32" s="632" t="s">
        <v>232</v>
      </c>
    </row>
    <row r="33" spans="2:32" ht="12.75" customHeight="1" x14ac:dyDescent="0.2">
      <c r="B33" s="632" t="s">
        <v>253</v>
      </c>
      <c r="C33" s="634"/>
      <c r="D33" s="647">
        <v>1000</v>
      </c>
      <c r="E33" s="643" t="s">
        <v>249</v>
      </c>
      <c r="F33" s="646">
        <v>0</v>
      </c>
      <c r="G33" s="645">
        <v>0</v>
      </c>
      <c r="H33" s="644">
        <f t="shared" si="10"/>
        <v>0</v>
      </c>
      <c r="I33" s="634"/>
      <c r="J33" s="643">
        <v>2022</v>
      </c>
      <c r="K33" s="640">
        <v>5</v>
      </c>
      <c r="L33" s="634"/>
      <c r="M33" s="641">
        <f t="shared" si="11"/>
        <v>2027</v>
      </c>
      <c r="N33" s="639">
        <f t="shared" si="12"/>
        <v>4</v>
      </c>
      <c r="O33" s="634"/>
      <c r="P33" s="642"/>
      <c r="Q33" s="641" t="str">
        <f t="shared" si="13"/>
        <v>N/A</v>
      </c>
      <c r="R33" s="640"/>
      <c r="S33" s="639">
        <f t="shared" si="14"/>
        <v>0</v>
      </c>
      <c r="T33" s="634"/>
      <c r="U33" s="648">
        <v>0</v>
      </c>
      <c r="V33" s="648">
        <v>0</v>
      </c>
      <c r="W33" s="648">
        <v>0</v>
      </c>
      <c r="X33" s="648">
        <v>0</v>
      </c>
      <c r="Y33" s="648">
        <v>0</v>
      </c>
      <c r="Z33" s="648">
        <v>0</v>
      </c>
      <c r="AA33" s="648">
        <v>0</v>
      </c>
      <c r="AB33" s="648">
        <v>0</v>
      </c>
      <c r="AC33" s="648">
        <v>0</v>
      </c>
      <c r="AD33" s="648">
        <v>0</v>
      </c>
      <c r="AE33" s="648">
        <v>0</v>
      </c>
      <c r="AF33" s="632" t="s">
        <v>232</v>
      </c>
    </row>
    <row r="34" spans="2:32" ht="12.75" customHeight="1" x14ac:dyDescent="0.2">
      <c r="B34" s="632" t="s">
        <v>252</v>
      </c>
      <c r="C34" s="634"/>
      <c r="D34" s="647">
        <v>800</v>
      </c>
      <c r="E34" s="643" t="s">
        <v>249</v>
      </c>
      <c r="F34" s="646">
        <v>78</v>
      </c>
      <c r="G34" s="645">
        <v>0</v>
      </c>
      <c r="H34" s="644">
        <f t="shared" si="10"/>
        <v>62400</v>
      </c>
      <c r="I34" s="634"/>
      <c r="J34" s="643">
        <v>2025</v>
      </c>
      <c r="K34" s="640">
        <v>5</v>
      </c>
      <c r="L34" s="634"/>
      <c r="M34" s="641">
        <f t="shared" si="11"/>
        <v>2030</v>
      </c>
      <c r="N34" s="639">
        <f t="shared" si="12"/>
        <v>7</v>
      </c>
      <c r="O34" s="634"/>
      <c r="P34" s="642"/>
      <c r="Q34" s="641" t="str">
        <f t="shared" si="13"/>
        <v>N/A</v>
      </c>
      <c r="R34" s="640"/>
      <c r="S34" s="639">
        <f t="shared" si="14"/>
        <v>0</v>
      </c>
      <c r="T34" s="634"/>
      <c r="U34" s="648">
        <v>0</v>
      </c>
      <c r="V34" s="772">
        <f>H34</f>
        <v>62400</v>
      </c>
      <c r="W34" s="648">
        <v>0</v>
      </c>
      <c r="X34" s="648">
        <v>0</v>
      </c>
      <c r="Y34" s="648">
        <v>0</v>
      </c>
      <c r="Z34" s="648">
        <v>0</v>
      </c>
      <c r="AA34" s="772">
        <f>H34</f>
        <v>62400</v>
      </c>
      <c r="AB34" s="648">
        <v>0</v>
      </c>
      <c r="AC34" s="648">
        <v>0</v>
      </c>
      <c r="AD34" s="648">
        <v>0</v>
      </c>
      <c r="AE34" s="648">
        <v>0</v>
      </c>
      <c r="AF34" s="632" t="s">
        <v>232</v>
      </c>
    </row>
    <row r="35" spans="2:32" ht="12.75" customHeight="1" x14ac:dyDescent="0.2">
      <c r="B35" s="632" t="s">
        <v>251</v>
      </c>
      <c r="C35" s="634"/>
      <c r="D35" s="647">
        <v>400</v>
      </c>
      <c r="E35" s="643" t="s">
        <v>249</v>
      </c>
      <c r="F35" s="646">
        <v>0</v>
      </c>
      <c r="G35" s="645">
        <v>0</v>
      </c>
      <c r="H35" s="644">
        <f t="shared" si="10"/>
        <v>0</v>
      </c>
      <c r="I35" s="634"/>
      <c r="J35" s="643">
        <v>2022</v>
      </c>
      <c r="K35" s="640">
        <v>5</v>
      </c>
      <c r="L35" s="634"/>
      <c r="M35" s="641">
        <f t="shared" si="11"/>
        <v>2027</v>
      </c>
      <c r="N35" s="639">
        <f t="shared" si="12"/>
        <v>4</v>
      </c>
      <c r="O35" s="634"/>
      <c r="P35" s="642"/>
      <c r="Q35" s="641" t="str">
        <f t="shared" si="13"/>
        <v>N/A</v>
      </c>
      <c r="R35" s="640"/>
      <c r="S35" s="639">
        <f t="shared" si="14"/>
        <v>0</v>
      </c>
      <c r="T35" s="634"/>
      <c r="U35" s="648">
        <v>0</v>
      </c>
      <c r="V35" s="648">
        <v>0</v>
      </c>
      <c r="W35" s="648">
        <v>0</v>
      </c>
      <c r="X35" s="648">
        <v>0</v>
      </c>
      <c r="Y35" s="648">
        <v>0</v>
      </c>
      <c r="Z35" s="648">
        <v>0</v>
      </c>
      <c r="AA35" s="648">
        <v>0</v>
      </c>
      <c r="AB35" s="648">
        <v>0</v>
      </c>
      <c r="AC35" s="648">
        <v>0</v>
      </c>
      <c r="AD35" s="648">
        <v>0</v>
      </c>
      <c r="AE35" s="648">
        <v>0</v>
      </c>
      <c r="AF35" s="632" t="s">
        <v>232</v>
      </c>
    </row>
    <row r="36" spans="2:32" ht="12.75" customHeight="1" x14ac:dyDescent="0.2">
      <c r="B36" s="632" t="s">
        <v>250</v>
      </c>
      <c r="C36" s="634"/>
      <c r="D36" s="647">
        <v>600</v>
      </c>
      <c r="E36" s="643" t="s">
        <v>249</v>
      </c>
      <c r="F36" s="646">
        <v>0</v>
      </c>
      <c r="G36" s="645">
        <v>0</v>
      </c>
      <c r="H36" s="644">
        <f t="shared" si="10"/>
        <v>0</v>
      </c>
      <c r="I36" s="634"/>
      <c r="J36" s="643">
        <v>2022</v>
      </c>
      <c r="K36" s="640">
        <v>5</v>
      </c>
      <c r="L36" s="634"/>
      <c r="M36" s="641">
        <f t="shared" si="11"/>
        <v>2027</v>
      </c>
      <c r="N36" s="639">
        <f t="shared" si="12"/>
        <v>4</v>
      </c>
      <c r="O36" s="634"/>
      <c r="P36" s="642"/>
      <c r="Q36" s="641" t="str">
        <f t="shared" si="13"/>
        <v>N/A</v>
      </c>
      <c r="R36" s="640"/>
      <c r="S36" s="639">
        <f t="shared" si="14"/>
        <v>0</v>
      </c>
      <c r="T36" s="634"/>
      <c r="U36" s="648">
        <v>0</v>
      </c>
      <c r="V36" s="648">
        <v>0</v>
      </c>
      <c r="W36" s="648">
        <v>0</v>
      </c>
      <c r="X36" s="648">
        <v>0</v>
      </c>
      <c r="Y36" s="648">
        <v>0</v>
      </c>
      <c r="Z36" s="648">
        <v>0</v>
      </c>
      <c r="AA36" s="648">
        <v>0</v>
      </c>
      <c r="AB36" s="648">
        <v>0</v>
      </c>
      <c r="AC36" s="648">
        <v>0</v>
      </c>
      <c r="AD36" s="648">
        <v>0</v>
      </c>
      <c r="AE36" s="648">
        <v>0</v>
      </c>
      <c r="AF36" s="632" t="s">
        <v>232</v>
      </c>
    </row>
    <row r="37" spans="2:32" ht="12.75" customHeight="1" x14ac:dyDescent="0.2">
      <c r="B37" s="636" t="s">
        <v>248</v>
      </c>
      <c r="C37" s="634"/>
      <c r="D37" s="647"/>
      <c r="E37" s="643"/>
      <c r="F37" s="646"/>
      <c r="G37" s="645"/>
      <c r="H37" s="644"/>
      <c r="J37" s="643"/>
      <c r="K37" s="640"/>
      <c r="L37" s="640"/>
      <c r="M37" s="641"/>
      <c r="N37" s="639"/>
      <c r="P37" s="642"/>
      <c r="Q37" s="641"/>
      <c r="R37" s="640"/>
      <c r="S37" s="639"/>
      <c r="T37" s="634"/>
      <c r="U37" s="638">
        <f t="shared" ref="U37:AE37" si="15">SUM(U32:U36)</f>
        <v>0</v>
      </c>
      <c r="V37" s="638">
        <f t="shared" si="15"/>
        <v>62400</v>
      </c>
      <c r="W37" s="638">
        <f t="shared" si="15"/>
        <v>0</v>
      </c>
      <c r="X37" s="638">
        <f t="shared" si="15"/>
        <v>0</v>
      </c>
      <c r="Y37" s="638">
        <f t="shared" si="15"/>
        <v>0</v>
      </c>
      <c r="Z37" s="638">
        <f t="shared" si="15"/>
        <v>0</v>
      </c>
      <c r="AA37" s="638">
        <f t="shared" si="15"/>
        <v>62400</v>
      </c>
      <c r="AB37" s="638">
        <f t="shared" si="15"/>
        <v>0</v>
      </c>
      <c r="AC37" s="638">
        <f t="shared" si="15"/>
        <v>0</v>
      </c>
      <c r="AD37" s="638">
        <f t="shared" si="15"/>
        <v>0</v>
      </c>
      <c r="AE37" s="638">
        <f t="shared" si="15"/>
        <v>0</v>
      </c>
      <c r="AF37" s="632" t="s">
        <v>232</v>
      </c>
    </row>
    <row r="38" spans="2:32" ht="12.75" customHeight="1" x14ac:dyDescent="0.2">
      <c r="B38" s="636"/>
      <c r="C38" s="634"/>
      <c r="D38" s="647"/>
      <c r="E38" s="643"/>
      <c r="F38" s="646"/>
      <c r="G38" s="645"/>
      <c r="H38" s="644"/>
      <c r="J38" s="643"/>
      <c r="K38" s="640"/>
      <c r="L38" s="640"/>
      <c r="M38" s="641"/>
      <c r="N38" s="639"/>
      <c r="P38" s="642"/>
      <c r="Q38" s="641"/>
      <c r="R38" s="640"/>
      <c r="S38" s="639"/>
      <c r="T38" s="634"/>
      <c r="U38" s="664"/>
      <c r="V38" s="664"/>
      <c r="W38" s="664"/>
      <c r="X38" s="664"/>
      <c r="Y38" s="664"/>
      <c r="Z38" s="664"/>
      <c r="AA38" s="664"/>
      <c r="AB38" s="664"/>
      <c r="AC38" s="664"/>
      <c r="AD38" s="664"/>
      <c r="AE38" s="664"/>
    </row>
    <row r="39" spans="2:32" ht="12.75" customHeight="1" x14ac:dyDescent="0.2">
      <c r="B39" s="663" t="s">
        <v>247</v>
      </c>
      <c r="C39" s="634"/>
      <c r="D39" s="658"/>
      <c r="E39" s="654"/>
      <c r="F39" s="657"/>
      <c r="G39" s="656"/>
      <c r="H39" s="655"/>
      <c r="I39" s="662"/>
      <c r="J39" s="654"/>
      <c r="K39" s="650"/>
      <c r="L39" s="650"/>
      <c r="M39" s="651"/>
      <c r="N39" s="649"/>
      <c r="O39" s="662"/>
      <c r="P39" s="652"/>
      <c r="Q39" s="651"/>
      <c r="R39" s="650"/>
      <c r="S39" s="649"/>
      <c r="T39" s="634"/>
      <c r="U39" s="661"/>
      <c r="V39" s="661"/>
      <c r="W39" s="661"/>
      <c r="X39" s="661"/>
      <c r="Y39" s="661"/>
      <c r="Z39" s="661"/>
      <c r="AA39" s="661"/>
      <c r="AB39" s="661"/>
      <c r="AC39" s="661"/>
      <c r="AD39" s="661"/>
      <c r="AE39" s="661"/>
      <c r="AF39" s="632" t="s">
        <v>232</v>
      </c>
    </row>
    <row r="40" spans="2:32" ht="12.75" customHeight="1" x14ac:dyDescent="0.2">
      <c r="B40" s="632" t="s">
        <v>246</v>
      </c>
      <c r="C40" s="634"/>
      <c r="D40" s="647">
        <v>125000</v>
      </c>
      <c r="E40" s="643" t="s">
        <v>241</v>
      </c>
      <c r="F40" s="646">
        <v>0</v>
      </c>
      <c r="G40" s="645">
        <v>0</v>
      </c>
      <c r="H40" s="644">
        <f t="shared" ref="H40:H43" si="16">D40*F40*(1+G40)</f>
        <v>0</v>
      </c>
      <c r="I40" s="634"/>
      <c r="J40" s="643">
        <v>2022</v>
      </c>
      <c r="K40" s="640">
        <v>25</v>
      </c>
      <c r="L40" s="634"/>
      <c r="M40" s="641">
        <f t="shared" ref="M40:M43" si="17">J40+K40</f>
        <v>2047</v>
      </c>
      <c r="N40" s="639" t="str">
        <f t="shared" ref="N40:N43" si="18">IFERROR(INDEX($U$11:$AE$11,,MATCH($M40,$U$12:$AE$12,0)),"N/A")</f>
        <v>N/A</v>
      </c>
      <c r="O40" s="634"/>
      <c r="P40" s="642"/>
      <c r="Q40" s="641" t="str">
        <f t="shared" ref="Q40:Q43" si="19">IFERROR(INDEX($U$12:$AE$12,,MATCH(P40,$U$11:$AE$11,0)),"N/A")</f>
        <v>N/A</v>
      </c>
      <c r="R40" s="640"/>
      <c r="S40" s="639">
        <f t="shared" ref="S40:S43" si="20">P40+R40</f>
        <v>0</v>
      </c>
      <c r="T40" s="634"/>
      <c r="U40" s="648">
        <v>0</v>
      </c>
      <c r="V40" s="648">
        <v>0</v>
      </c>
      <c r="W40" s="648">
        <v>0</v>
      </c>
      <c r="X40" s="648">
        <v>0</v>
      </c>
      <c r="Y40" s="648">
        <v>0</v>
      </c>
      <c r="Z40" s="648">
        <v>0</v>
      </c>
      <c r="AA40" s="648">
        <v>0</v>
      </c>
      <c r="AB40" s="648">
        <v>0</v>
      </c>
      <c r="AC40" s="648">
        <v>0</v>
      </c>
      <c r="AD40" s="648">
        <v>0</v>
      </c>
      <c r="AE40" s="648">
        <v>0</v>
      </c>
      <c r="AF40" s="632" t="s">
        <v>232</v>
      </c>
    </row>
    <row r="41" spans="2:32" ht="12.75" customHeight="1" x14ac:dyDescent="0.2">
      <c r="B41" s="632" t="s">
        <v>245</v>
      </c>
      <c r="C41" s="634"/>
      <c r="D41" s="647">
        <v>12000</v>
      </c>
      <c r="E41" s="643" t="s">
        <v>244</v>
      </c>
      <c r="F41" s="646">
        <v>0</v>
      </c>
      <c r="G41" s="645">
        <v>0</v>
      </c>
      <c r="H41" s="644">
        <f t="shared" si="16"/>
        <v>0</v>
      </c>
      <c r="I41" s="634"/>
      <c r="J41" s="643">
        <v>2022</v>
      </c>
      <c r="K41" s="640">
        <v>20</v>
      </c>
      <c r="L41" s="634"/>
      <c r="M41" s="641">
        <f t="shared" si="17"/>
        <v>2042</v>
      </c>
      <c r="N41" s="639" t="str">
        <f t="shared" si="18"/>
        <v>N/A</v>
      </c>
      <c r="O41" s="634"/>
      <c r="P41" s="642"/>
      <c r="Q41" s="641" t="str">
        <f t="shared" si="19"/>
        <v>N/A</v>
      </c>
      <c r="R41" s="640"/>
      <c r="S41" s="639">
        <f t="shared" si="20"/>
        <v>0</v>
      </c>
      <c r="T41" s="634"/>
      <c r="U41" s="648">
        <v>0</v>
      </c>
      <c r="V41" s="648">
        <v>0</v>
      </c>
      <c r="W41" s="648">
        <v>0</v>
      </c>
      <c r="X41" s="648">
        <v>0</v>
      </c>
      <c r="Y41" s="648">
        <v>0</v>
      </c>
      <c r="Z41" s="648">
        <v>0</v>
      </c>
      <c r="AA41" s="648">
        <v>0</v>
      </c>
      <c r="AB41" s="648">
        <v>0</v>
      </c>
      <c r="AC41" s="648">
        <v>0</v>
      </c>
      <c r="AD41" s="648">
        <v>0</v>
      </c>
      <c r="AE41" s="648">
        <v>0</v>
      </c>
      <c r="AF41" s="632" t="s">
        <v>232</v>
      </c>
    </row>
    <row r="42" spans="2:32" ht="12.75" customHeight="1" x14ac:dyDescent="0.2">
      <c r="B42" s="632" t="s">
        <v>243</v>
      </c>
      <c r="C42" s="634"/>
      <c r="D42" s="647">
        <v>250000</v>
      </c>
      <c r="E42" s="643" t="s">
        <v>241</v>
      </c>
      <c r="F42" s="646">
        <v>0</v>
      </c>
      <c r="G42" s="645">
        <v>0</v>
      </c>
      <c r="H42" s="644">
        <f t="shared" si="16"/>
        <v>0</v>
      </c>
      <c r="I42" s="634"/>
      <c r="J42" s="643">
        <v>2022</v>
      </c>
      <c r="K42" s="640">
        <v>20</v>
      </c>
      <c r="L42" s="634"/>
      <c r="M42" s="641">
        <f t="shared" si="17"/>
        <v>2042</v>
      </c>
      <c r="N42" s="639" t="str">
        <f t="shared" si="18"/>
        <v>N/A</v>
      </c>
      <c r="O42" s="634"/>
      <c r="P42" s="642"/>
      <c r="Q42" s="641" t="str">
        <f t="shared" si="19"/>
        <v>N/A</v>
      </c>
      <c r="R42" s="640"/>
      <c r="S42" s="639">
        <f t="shared" si="20"/>
        <v>0</v>
      </c>
      <c r="T42" s="634"/>
      <c r="U42" s="648">
        <v>0</v>
      </c>
      <c r="V42" s="648">
        <v>0</v>
      </c>
      <c r="W42" s="648">
        <v>0</v>
      </c>
      <c r="X42" s="648">
        <v>0</v>
      </c>
      <c r="Y42" s="648">
        <v>0</v>
      </c>
      <c r="Z42" s="648">
        <v>0</v>
      </c>
      <c r="AA42" s="648">
        <v>0</v>
      </c>
      <c r="AB42" s="648">
        <v>0</v>
      </c>
      <c r="AC42" s="648">
        <v>0</v>
      </c>
      <c r="AD42" s="648">
        <v>0</v>
      </c>
      <c r="AE42" s="648">
        <v>0</v>
      </c>
      <c r="AF42" s="632" t="s">
        <v>232</v>
      </c>
    </row>
    <row r="43" spans="2:32" ht="12.75" customHeight="1" x14ac:dyDescent="0.2">
      <c r="B43" s="632" t="s">
        <v>242</v>
      </c>
      <c r="C43" s="634"/>
      <c r="D43" s="667">
        <v>300000</v>
      </c>
      <c r="E43" s="643" t="s">
        <v>241</v>
      </c>
      <c r="F43" s="646">
        <v>0</v>
      </c>
      <c r="G43" s="666">
        <v>0</v>
      </c>
      <c r="H43" s="665">
        <f t="shared" si="16"/>
        <v>0</v>
      </c>
      <c r="I43" s="634"/>
      <c r="J43" s="643">
        <v>2022</v>
      </c>
      <c r="K43" s="640">
        <v>20</v>
      </c>
      <c r="L43" s="634"/>
      <c r="M43" s="641">
        <f t="shared" si="17"/>
        <v>2042</v>
      </c>
      <c r="N43" s="639" t="str">
        <f t="shared" si="18"/>
        <v>N/A</v>
      </c>
      <c r="O43" s="634"/>
      <c r="P43" s="642"/>
      <c r="Q43" s="641" t="str">
        <f t="shared" si="19"/>
        <v>N/A</v>
      </c>
      <c r="R43" s="640"/>
      <c r="S43" s="639">
        <f t="shared" si="20"/>
        <v>0</v>
      </c>
      <c r="T43" s="634"/>
      <c r="U43" s="648">
        <v>0</v>
      </c>
      <c r="V43" s="648">
        <v>0</v>
      </c>
      <c r="W43" s="648">
        <v>0</v>
      </c>
      <c r="X43" s="648">
        <v>0</v>
      </c>
      <c r="Y43" s="648">
        <v>0</v>
      </c>
      <c r="Z43" s="648">
        <v>0</v>
      </c>
      <c r="AA43" s="648">
        <v>0</v>
      </c>
      <c r="AB43" s="648">
        <v>0</v>
      </c>
      <c r="AC43" s="648">
        <v>0</v>
      </c>
      <c r="AD43" s="648">
        <v>0</v>
      </c>
      <c r="AE43" s="648">
        <v>0</v>
      </c>
      <c r="AF43" s="632" t="s">
        <v>232</v>
      </c>
    </row>
    <row r="44" spans="2:32" ht="12.75" customHeight="1" x14ac:dyDescent="0.2">
      <c r="B44" s="636" t="s">
        <v>240</v>
      </c>
      <c r="C44" s="634"/>
      <c r="D44" s="647"/>
      <c r="E44" s="643"/>
      <c r="F44" s="646"/>
      <c r="G44" s="645"/>
      <c r="H44" s="644"/>
      <c r="J44" s="643"/>
      <c r="K44" s="640"/>
      <c r="L44" s="640"/>
      <c r="M44" s="641"/>
      <c r="N44" s="639"/>
      <c r="P44" s="642"/>
      <c r="Q44" s="641"/>
      <c r="R44" s="640"/>
      <c r="S44" s="639"/>
      <c r="T44" s="634"/>
      <c r="U44" s="638">
        <f t="shared" ref="U44:AE44" si="21">SUM(U40:U43)</f>
        <v>0</v>
      </c>
      <c r="V44" s="638">
        <f t="shared" si="21"/>
        <v>0</v>
      </c>
      <c r="W44" s="638">
        <f t="shared" si="21"/>
        <v>0</v>
      </c>
      <c r="X44" s="638">
        <f t="shared" si="21"/>
        <v>0</v>
      </c>
      <c r="Y44" s="638">
        <f t="shared" si="21"/>
        <v>0</v>
      </c>
      <c r="Z44" s="638">
        <f t="shared" si="21"/>
        <v>0</v>
      </c>
      <c r="AA44" s="638">
        <f t="shared" si="21"/>
        <v>0</v>
      </c>
      <c r="AB44" s="638">
        <f t="shared" si="21"/>
        <v>0</v>
      </c>
      <c r="AC44" s="638">
        <f t="shared" si="21"/>
        <v>0</v>
      </c>
      <c r="AD44" s="638">
        <f t="shared" si="21"/>
        <v>0</v>
      </c>
      <c r="AE44" s="638">
        <f t="shared" si="21"/>
        <v>0</v>
      </c>
      <c r="AF44" s="632" t="s">
        <v>232</v>
      </c>
    </row>
    <row r="45" spans="2:32" ht="12.75" customHeight="1" x14ac:dyDescent="0.2">
      <c r="B45" s="636"/>
      <c r="C45" s="634"/>
      <c r="D45" s="647"/>
      <c r="E45" s="643"/>
      <c r="F45" s="646"/>
      <c r="G45" s="645"/>
      <c r="H45" s="644"/>
      <c r="J45" s="643"/>
      <c r="K45" s="640"/>
      <c r="L45" s="640"/>
      <c r="M45" s="641"/>
      <c r="N45" s="639"/>
      <c r="P45" s="642"/>
      <c r="Q45" s="641"/>
      <c r="R45" s="640"/>
      <c r="S45" s="639"/>
      <c r="T45" s="634"/>
      <c r="U45" s="664"/>
      <c r="V45" s="664"/>
      <c r="W45" s="664"/>
      <c r="X45" s="664"/>
      <c r="Y45" s="664"/>
      <c r="Z45" s="664"/>
      <c r="AA45" s="664"/>
      <c r="AB45" s="664"/>
      <c r="AC45" s="664"/>
      <c r="AD45" s="664"/>
      <c r="AE45" s="664"/>
    </row>
    <row r="46" spans="2:32" ht="12.75" customHeight="1" x14ac:dyDescent="0.2">
      <c r="B46" s="663" t="s">
        <v>238</v>
      </c>
      <c r="C46" s="634"/>
      <c r="D46" s="658"/>
      <c r="E46" s="654"/>
      <c r="F46" s="657"/>
      <c r="G46" s="656"/>
      <c r="H46" s="655"/>
      <c r="I46" s="662"/>
      <c r="J46" s="654"/>
      <c r="K46" s="650"/>
      <c r="L46" s="650"/>
      <c r="M46" s="651"/>
      <c r="N46" s="649"/>
      <c r="O46" s="662"/>
      <c r="P46" s="652"/>
      <c r="Q46" s="651"/>
      <c r="R46" s="650"/>
      <c r="S46" s="649"/>
      <c r="T46" s="634"/>
      <c r="U46" s="661"/>
      <c r="V46" s="661"/>
      <c r="W46" s="661"/>
      <c r="X46" s="661"/>
      <c r="Y46" s="661"/>
      <c r="Z46" s="661"/>
      <c r="AA46" s="661"/>
      <c r="AB46" s="661"/>
      <c r="AC46" s="661"/>
      <c r="AD46" s="661"/>
      <c r="AE46" s="661"/>
      <c r="AF46" s="632" t="s">
        <v>232</v>
      </c>
    </row>
    <row r="47" spans="2:32" ht="12.75" customHeight="1" x14ac:dyDescent="0.2">
      <c r="B47" s="632" t="s">
        <v>237</v>
      </c>
      <c r="C47" s="634"/>
      <c r="D47" s="647">
        <v>5</v>
      </c>
      <c r="E47" s="643" t="s">
        <v>236</v>
      </c>
      <c r="F47" s="646">
        <v>0</v>
      </c>
      <c r="G47" s="645">
        <v>0</v>
      </c>
      <c r="H47" s="644">
        <f>D47*F47*(1+G47)</f>
        <v>0</v>
      </c>
      <c r="I47" s="634"/>
      <c r="J47" s="643">
        <v>2022</v>
      </c>
      <c r="K47" s="640">
        <v>5</v>
      </c>
      <c r="L47" s="634"/>
      <c r="M47" s="641">
        <f>J47+K47</f>
        <v>2027</v>
      </c>
      <c r="N47" s="639">
        <f>IFERROR(INDEX($U$11:$AE$11,,MATCH($M47,$U$12:$AE$12,0)),"N/A")</f>
        <v>4</v>
      </c>
      <c r="O47" s="634"/>
      <c r="P47" s="642"/>
      <c r="Q47" s="641" t="str">
        <f>IFERROR(INDEX($U$12:$AE$12,,MATCH(P47,$U$11:$AE$11,0)),"N/A")</f>
        <v>N/A</v>
      </c>
      <c r="R47" s="640"/>
      <c r="S47" s="639">
        <f>P47+R47</f>
        <v>0</v>
      </c>
      <c r="T47" s="634"/>
      <c r="U47" s="648">
        <v>0</v>
      </c>
      <c r="V47" s="648">
        <v>0</v>
      </c>
      <c r="W47" s="648">
        <v>0</v>
      </c>
      <c r="X47" s="648">
        <v>0</v>
      </c>
      <c r="Y47" s="648">
        <v>0</v>
      </c>
      <c r="Z47" s="648">
        <v>0</v>
      </c>
      <c r="AA47" s="648">
        <v>0</v>
      </c>
      <c r="AB47" s="648">
        <v>0</v>
      </c>
      <c r="AC47" s="648">
        <v>0</v>
      </c>
      <c r="AD47" s="648">
        <v>0</v>
      </c>
      <c r="AE47" s="648">
        <v>0</v>
      </c>
      <c r="AF47" s="632" t="s">
        <v>232</v>
      </c>
    </row>
    <row r="48" spans="2:32" ht="12.75" customHeight="1" x14ac:dyDescent="0.2">
      <c r="B48" s="660" t="s">
        <v>235</v>
      </c>
      <c r="C48" s="634"/>
      <c r="D48" s="647"/>
      <c r="E48" s="643"/>
      <c r="F48" s="646"/>
      <c r="G48" s="645">
        <v>0</v>
      </c>
      <c r="H48" s="644">
        <f>D48*F48*(1+G48)</f>
        <v>0</v>
      </c>
      <c r="I48" s="634"/>
      <c r="J48" s="643"/>
      <c r="K48" s="640"/>
      <c r="L48" s="634"/>
      <c r="M48" s="641">
        <f>J48+K48</f>
        <v>0</v>
      </c>
      <c r="N48" s="639" t="str">
        <f>IFERROR(INDEX($U$11:$AE$11,,MATCH($M48,$U$12:$AE$12,0)),"N/A")</f>
        <v>N/A</v>
      </c>
      <c r="O48" s="634"/>
      <c r="P48" s="642"/>
      <c r="Q48" s="641" t="str">
        <f>IFERROR(INDEX($U$12:$AE$12,,MATCH(P48,$U$11:$AE$11,0)),"N/A")</f>
        <v>N/A</v>
      </c>
      <c r="R48" s="640"/>
      <c r="S48" s="639">
        <f>P48+R48</f>
        <v>0</v>
      </c>
      <c r="T48" s="634"/>
      <c r="U48" s="648">
        <v>0</v>
      </c>
      <c r="V48" s="648">
        <v>0</v>
      </c>
      <c r="W48" s="648">
        <v>0</v>
      </c>
      <c r="X48" s="648">
        <v>0</v>
      </c>
      <c r="Y48" s="648">
        <v>0</v>
      </c>
      <c r="Z48" s="648">
        <v>0</v>
      </c>
      <c r="AA48" s="648">
        <v>0</v>
      </c>
      <c r="AB48" s="648">
        <v>0</v>
      </c>
      <c r="AC48" s="648">
        <v>0</v>
      </c>
      <c r="AD48" s="648">
        <v>0</v>
      </c>
      <c r="AE48" s="648">
        <v>0</v>
      </c>
      <c r="AF48" s="632" t="s">
        <v>232</v>
      </c>
    </row>
    <row r="49" spans="2:32" ht="12.75" customHeight="1" x14ac:dyDescent="0.2">
      <c r="B49" s="659" t="s">
        <v>234</v>
      </c>
      <c r="C49" s="634"/>
      <c r="D49" s="658"/>
      <c r="E49" s="654"/>
      <c r="F49" s="657"/>
      <c r="G49" s="656">
        <v>0</v>
      </c>
      <c r="H49" s="655">
        <f>D49*F49*(1+G49)</f>
        <v>0</v>
      </c>
      <c r="I49" s="653"/>
      <c r="J49" s="654"/>
      <c r="K49" s="650"/>
      <c r="L49" s="653"/>
      <c r="M49" s="651">
        <f>J49+K49</f>
        <v>0</v>
      </c>
      <c r="N49" s="649" t="str">
        <f>IFERROR(INDEX($U$11:$AE$11,,MATCH($M49,$U$12:$AE$12,0)),"N/A")</f>
        <v>N/A</v>
      </c>
      <c r="O49" s="653"/>
      <c r="P49" s="652"/>
      <c r="Q49" s="651" t="str">
        <f>IFERROR(INDEX($U$12:$AE$12,,MATCH(P49,$U$11:$AE$11,0)),"N/A")</f>
        <v>N/A</v>
      </c>
      <c r="R49" s="650"/>
      <c r="S49" s="649">
        <f>P49+R49</f>
        <v>0</v>
      </c>
      <c r="T49" s="634"/>
      <c r="U49" s="648">
        <v>0</v>
      </c>
      <c r="V49" s="648">
        <v>0</v>
      </c>
      <c r="W49" s="648">
        <v>0</v>
      </c>
      <c r="X49" s="648">
        <v>0</v>
      </c>
      <c r="Y49" s="648">
        <v>0</v>
      </c>
      <c r="Z49" s="648">
        <v>0</v>
      </c>
      <c r="AA49" s="648">
        <v>0</v>
      </c>
      <c r="AB49" s="648">
        <v>0</v>
      </c>
      <c r="AC49" s="648">
        <v>0</v>
      </c>
      <c r="AD49" s="648">
        <v>0</v>
      </c>
      <c r="AE49" s="648">
        <v>0</v>
      </c>
      <c r="AF49" s="632" t="s">
        <v>232</v>
      </c>
    </row>
    <row r="50" spans="2:32" ht="12.75" customHeight="1" x14ac:dyDescent="0.2">
      <c r="B50" s="636" t="s">
        <v>233</v>
      </c>
      <c r="C50" s="634"/>
      <c r="D50" s="647"/>
      <c r="E50" s="643"/>
      <c r="F50" s="646"/>
      <c r="G50" s="645"/>
      <c r="H50" s="644"/>
      <c r="J50" s="643"/>
      <c r="K50" s="640"/>
      <c r="L50" s="640"/>
      <c r="M50" s="641"/>
      <c r="N50" s="639"/>
      <c r="P50" s="642"/>
      <c r="Q50" s="641"/>
      <c r="R50" s="640"/>
      <c r="S50" s="639"/>
      <c r="T50" s="634"/>
      <c r="U50" s="638">
        <f t="shared" ref="U50:AE50" si="22">SUM(U47:U49)</f>
        <v>0</v>
      </c>
      <c r="V50" s="638">
        <f t="shared" si="22"/>
        <v>0</v>
      </c>
      <c r="W50" s="638">
        <f t="shared" si="22"/>
        <v>0</v>
      </c>
      <c r="X50" s="638">
        <f t="shared" si="22"/>
        <v>0</v>
      </c>
      <c r="Y50" s="638">
        <f t="shared" si="22"/>
        <v>0</v>
      </c>
      <c r="Z50" s="638">
        <f t="shared" si="22"/>
        <v>0</v>
      </c>
      <c r="AA50" s="638">
        <f t="shared" si="22"/>
        <v>0</v>
      </c>
      <c r="AB50" s="638">
        <f t="shared" si="22"/>
        <v>0</v>
      </c>
      <c r="AC50" s="638">
        <f t="shared" si="22"/>
        <v>0</v>
      </c>
      <c r="AD50" s="638">
        <f t="shared" si="22"/>
        <v>0</v>
      </c>
      <c r="AE50" s="638">
        <f t="shared" si="22"/>
        <v>0</v>
      </c>
      <c r="AF50" s="632" t="s">
        <v>232</v>
      </c>
    </row>
    <row r="51" spans="2:32" ht="12.75" customHeight="1" thickBot="1" x14ac:dyDescent="0.25">
      <c r="C51" s="634"/>
      <c r="T51" s="634"/>
      <c r="U51" s="637"/>
      <c r="V51" s="637"/>
      <c r="W51" s="637"/>
      <c r="X51" s="637"/>
      <c r="Y51" s="637"/>
      <c r="Z51" s="637"/>
      <c r="AA51" s="637"/>
      <c r="AB51" s="637"/>
      <c r="AC51" s="637"/>
      <c r="AD51" s="637"/>
      <c r="AE51" s="637"/>
    </row>
    <row r="52" spans="2:32" ht="12.75" customHeight="1" thickTop="1" x14ac:dyDescent="0.2">
      <c r="B52" s="636" t="s">
        <v>231</v>
      </c>
      <c r="C52" s="634"/>
      <c r="T52" s="634"/>
      <c r="U52" s="635">
        <f>U17+U23+U29+U37+U44+U50</f>
        <v>1054488.06</v>
      </c>
      <c r="V52" s="635">
        <f t="shared" ref="V52:AE52" si="23">V17+V23+V29+V37+V44+V50</f>
        <v>62400</v>
      </c>
      <c r="W52" s="635">
        <f t="shared" si="23"/>
        <v>0</v>
      </c>
      <c r="X52" s="635">
        <f t="shared" si="23"/>
        <v>0</v>
      </c>
      <c r="Y52" s="635">
        <f t="shared" si="23"/>
        <v>0</v>
      </c>
      <c r="Z52" s="635">
        <f t="shared" si="23"/>
        <v>26118.75</v>
      </c>
      <c r="AA52" s="635">
        <f t="shared" si="23"/>
        <v>62400</v>
      </c>
      <c r="AB52" s="635">
        <f t="shared" si="23"/>
        <v>0</v>
      </c>
      <c r="AC52" s="635">
        <f t="shared" si="23"/>
        <v>0</v>
      </c>
      <c r="AD52" s="635">
        <f t="shared" si="23"/>
        <v>0</v>
      </c>
      <c r="AE52" s="635">
        <f t="shared" si="23"/>
        <v>0</v>
      </c>
    </row>
    <row r="53" spans="2:32" ht="12.75" customHeight="1" x14ac:dyDescent="0.2">
      <c r="C53" s="634"/>
      <c r="T53" s="634"/>
    </row>
    <row r="54" spans="2:32" ht="12.75" customHeight="1" x14ac:dyDescent="0.2">
      <c r="C54" s="634"/>
      <c r="T54" s="634"/>
      <c r="U54" s="632" t="s">
        <v>609</v>
      </c>
      <c r="V54" s="648">
        <f>SUM(U52:AE52)</f>
        <v>1205406.81</v>
      </c>
    </row>
    <row r="55" spans="2:32" ht="12.75" customHeight="1" x14ac:dyDescent="0.2">
      <c r="C55" s="634"/>
      <c r="T55" s="634"/>
      <c r="U55" s="776"/>
    </row>
    <row r="56" spans="2:32" ht="12.75" customHeight="1" x14ac:dyDescent="0.2">
      <c r="C56" s="634"/>
      <c r="T56" s="634"/>
    </row>
    <row r="57" spans="2:32" ht="12.75" customHeight="1" x14ac:dyDescent="0.2">
      <c r="C57" s="634"/>
      <c r="T57" s="634"/>
    </row>
    <row r="58" spans="2:32" ht="12.75" customHeight="1" x14ac:dyDescent="0.2">
      <c r="C58" s="634"/>
      <c r="T58" s="634"/>
    </row>
    <row r="59" spans="2:32" ht="12.75" customHeight="1" x14ac:dyDescent="0.2">
      <c r="C59" s="634"/>
      <c r="T59" s="634"/>
    </row>
    <row r="60" spans="2:32" ht="12.75" customHeight="1" x14ac:dyDescent="0.2">
      <c r="C60" s="634"/>
      <c r="T60" s="634"/>
    </row>
    <row r="61" spans="2:32" ht="12.75" customHeight="1" x14ac:dyDescent="0.2">
      <c r="C61" s="634"/>
      <c r="T61" s="634"/>
    </row>
    <row r="62" spans="2:32" ht="12.75" customHeight="1" x14ac:dyDescent="0.2">
      <c r="C62" s="634"/>
      <c r="T62" s="634"/>
    </row>
    <row r="63" spans="2:32" ht="12.75" customHeight="1" x14ac:dyDescent="0.2">
      <c r="C63" s="634"/>
      <c r="T63" s="634"/>
    </row>
    <row r="64" spans="2:32" ht="12.75" customHeight="1" x14ac:dyDescent="0.2">
      <c r="C64" s="634"/>
      <c r="T64" s="634"/>
    </row>
    <row r="65" spans="3:20" ht="12.75" customHeight="1" x14ac:dyDescent="0.2">
      <c r="C65" s="634"/>
      <c r="T65" s="634"/>
    </row>
    <row r="66" spans="3:20" ht="12.75" customHeight="1" x14ac:dyDescent="0.2">
      <c r="C66" s="634"/>
      <c r="T66" s="634"/>
    </row>
    <row r="67" spans="3:20" ht="12.75" customHeight="1" x14ac:dyDescent="0.2">
      <c r="C67" s="634"/>
      <c r="T67" s="634"/>
    </row>
    <row r="68" spans="3:20" ht="12.75" customHeight="1" x14ac:dyDescent="0.2">
      <c r="C68" s="634"/>
      <c r="T68" s="634"/>
    </row>
    <row r="69" spans="3:20" ht="12.75" customHeight="1" x14ac:dyDescent="0.2">
      <c r="C69" s="634"/>
      <c r="T69" s="634"/>
    </row>
    <row r="70" spans="3:20" ht="12.75" customHeight="1" x14ac:dyDescent="0.2">
      <c r="C70" s="634"/>
      <c r="T70" s="634"/>
    </row>
    <row r="71" spans="3:20" ht="12.75" customHeight="1" x14ac:dyDescent="0.2">
      <c r="C71" s="634"/>
      <c r="T71" s="634"/>
    </row>
    <row r="72" spans="3:20" ht="12.75" customHeight="1" x14ac:dyDescent="0.2">
      <c r="C72" s="634"/>
      <c r="T72" s="634"/>
    </row>
    <row r="73" spans="3:20" ht="12.75" customHeight="1" x14ac:dyDescent="0.2">
      <c r="C73" s="634"/>
      <c r="T73" s="634"/>
    </row>
    <row r="74" spans="3:20" ht="12.75" customHeight="1" x14ac:dyDescent="0.2">
      <c r="C74" s="634"/>
      <c r="T74" s="634"/>
    </row>
    <row r="75" spans="3:20" ht="12.75" customHeight="1" x14ac:dyDescent="0.2">
      <c r="C75" s="634"/>
      <c r="T75" s="634"/>
    </row>
    <row r="76" spans="3:20" ht="12.75" customHeight="1" x14ac:dyDescent="0.2">
      <c r="C76" s="634"/>
      <c r="T76" s="634"/>
    </row>
    <row r="77" spans="3:20" ht="12.75" customHeight="1" x14ac:dyDescent="0.2">
      <c r="C77" s="634"/>
      <c r="T77" s="634"/>
    </row>
    <row r="78" spans="3:20" ht="12.75" customHeight="1" x14ac:dyDescent="0.2">
      <c r="C78" s="634"/>
      <c r="T78" s="634"/>
    </row>
    <row r="79" spans="3:20" ht="12.75" customHeight="1" x14ac:dyDescent="0.2">
      <c r="C79" s="634"/>
      <c r="T79" s="634"/>
    </row>
    <row r="80" spans="3:20" ht="12.75" customHeight="1" x14ac:dyDescent="0.2">
      <c r="C80" s="634"/>
      <c r="T80" s="634"/>
    </row>
    <row r="81" spans="3:20" ht="12.75" customHeight="1" x14ac:dyDescent="0.2">
      <c r="C81" s="634"/>
      <c r="T81" s="634"/>
    </row>
    <row r="82" spans="3:20" ht="12.75" customHeight="1" x14ac:dyDescent="0.2">
      <c r="C82" s="634"/>
      <c r="T82" s="634"/>
    </row>
    <row r="83" spans="3:20" ht="12.75" customHeight="1" x14ac:dyDescent="0.2">
      <c r="C83" s="634"/>
      <c r="T83" s="634"/>
    </row>
    <row r="84" spans="3:20" ht="12.75" customHeight="1" x14ac:dyDescent="0.2">
      <c r="C84" s="634"/>
      <c r="T84" s="634"/>
    </row>
    <row r="85" spans="3:20" ht="12.75" customHeight="1" x14ac:dyDescent="0.2">
      <c r="C85" s="634"/>
      <c r="T85" s="634"/>
    </row>
    <row r="86" spans="3:20" ht="12.75" customHeight="1" x14ac:dyDescent="0.2">
      <c r="C86" s="634"/>
      <c r="T86" s="634"/>
    </row>
    <row r="87" spans="3:20" ht="12.75" customHeight="1" x14ac:dyDescent="0.2">
      <c r="C87" s="634"/>
      <c r="T87" s="634"/>
    </row>
    <row r="88" spans="3:20" ht="12.75" customHeight="1" x14ac:dyDescent="0.2">
      <c r="C88" s="634"/>
      <c r="T88" s="634"/>
    </row>
    <row r="89" spans="3:20" ht="12.75" customHeight="1" x14ac:dyDescent="0.2">
      <c r="C89" s="634"/>
      <c r="T89" s="634"/>
    </row>
    <row r="90" spans="3:20" ht="12.75" customHeight="1" x14ac:dyDescent="0.2">
      <c r="C90" s="634"/>
      <c r="T90" s="634"/>
    </row>
    <row r="91" spans="3:20" ht="12.75" customHeight="1" x14ac:dyDescent="0.2">
      <c r="C91" s="634"/>
      <c r="T91" s="634"/>
    </row>
    <row r="92" spans="3:20" ht="12.75" customHeight="1" x14ac:dyDescent="0.2">
      <c r="C92" s="634"/>
      <c r="T92" s="634"/>
    </row>
    <row r="93" spans="3:20" ht="12.75" customHeight="1" x14ac:dyDescent="0.2">
      <c r="C93" s="634"/>
      <c r="T93" s="634"/>
    </row>
    <row r="94" spans="3:20" ht="12.75" customHeight="1" x14ac:dyDescent="0.2">
      <c r="C94" s="634"/>
      <c r="T94" s="634"/>
    </row>
    <row r="95" spans="3:20" ht="12.75" customHeight="1" x14ac:dyDescent="0.2">
      <c r="C95" s="634"/>
      <c r="T95" s="634"/>
    </row>
    <row r="96" spans="3:20" ht="12.75" customHeight="1" x14ac:dyDescent="0.2">
      <c r="C96" s="634"/>
      <c r="T96" s="634"/>
    </row>
    <row r="97" spans="3:20" ht="12.75" customHeight="1" x14ac:dyDescent="0.2">
      <c r="C97" s="634"/>
      <c r="T97" s="634"/>
    </row>
    <row r="98" spans="3:20" ht="12.75" customHeight="1" x14ac:dyDescent="0.2">
      <c r="C98" s="634"/>
      <c r="T98" s="634"/>
    </row>
    <row r="99" spans="3:20" ht="12.75" customHeight="1" x14ac:dyDescent="0.2">
      <c r="C99" s="634"/>
      <c r="T99" s="634"/>
    </row>
    <row r="100" spans="3:20" ht="12.75" customHeight="1" x14ac:dyDescent="0.2">
      <c r="C100" s="634"/>
      <c r="T100" s="634"/>
    </row>
    <row r="101" spans="3:20" ht="12.75" customHeight="1" x14ac:dyDescent="0.2">
      <c r="C101" s="634"/>
      <c r="T101" s="634"/>
    </row>
    <row r="102" spans="3:20" ht="12.75" customHeight="1" x14ac:dyDescent="0.2">
      <c r="C102" s="634"/>
      <c r="T102" s="634"/>
    </row>
    <row r="103" spans="3:20" ht="12.75" customHeight="1" x14ac:dyDescent="0.2">
      <c r="C103" s="634"/>
      <c r="T103" s="634"/>
    </row>
    <row r="104" spans="3:20" ht="12.75" customHeight="1" x14ac:dyDescent="0.2">
      <c r="C104" s="634"/>
      <c r="T104" s="634"/>
    </row>
    <row r="105" spans="3:20" ht="12.75" customHeight="1" x14ac:dyDescent="0.2">
      <c r="C105" s="634"/>
      <c r="T105" s="634"/>
    </row>
    <row r="106" spans="3:20" ht="12.75" customHeight="1" x14ac:dyDescent="0.2">
      <c r="C106" s="634"/>
      <c r="T106" s="634"/>
    </row>
    <row r="107" spans="3:20" ht="12.75" customHeight="1" x14ac:dyDescent="0.2">
      <c r="C107" s="634"/>
      <c r="T107" s="634"/>
    </row>
    <row r="108" spans="3:20" ht="12.75" customHeight="1" x14ac:dyDescent="0.2">
      <c r="C108" s="634"/>
      <c r="T108" s="634"/>
    </row>
    <row r="109" spans="3:20" ht="12.75" customHeight="1" x14ac:dyDescent="0.2">
      <c r="C109" s="634"/>
      <c r="T109" s="634"/>
    </row>
    <row r="110" spans="3:20" ht="12.75" customHeight="1" x14ac:dyDescent="0.2">
      <c r="C110" s="634"/>
      <c r="T110" s="634"/>
    </row>
    <row r="111" spans="3:20" ht="12.75" customHeight="1" x14ac:dyDescent="0.2">
      <c r="C111" s="634"/>
      <c r="T111" s="634"/>
    </row>
    <row r="112" spans="3:20" ht="12.75" customHeight="1" x14ac:dyDescent="0.2">
      <c r="C112" s="634"/>
      <c r="T112" s="634"/>
    </row>
    <row r="113" spans="3:20" ht="12.75" customHeight="1" x14ac:dyDescent="0.2">
      <c r="C113" s="634"/>
      <c r="T113" s="634"/>
    </row>
    <row r="114" spans="3:20" ht="12.75" customHeight="1" x14ac:dyDescent="0.2">
      <c r="C114" s="634"/>
      <c r="T114" s="634"/>
    </row>
    <row r="115" spans="3:20" ht="12.75" customHeight="1" x14ac:dyDescent="0.2">
      <c r="C115" s="634"/>
      <c r="T115" s="634"/>
    </row>
    <row r="116" spans="3:20" ht="12.75" customHeight="1" x14ac:dyDescent="0.2">
      <c r="C116" s="634"/>
      <c r="T116" s="634"/>
    </row>
    <row r="117" spans="3:20" ht="12.75" customHeight="1" x14ac:dyDescent="0.2">
      <c r="C117" s="634"/>
      <c r="T117" s="634"/>
    </row>
    <row r="118" spans="3:20" ht="12.75" customHeight="1" x14ac:dyDescent="0.2">
      <c r="C118" s="634"/>
      <c r="T118" s="634"/>
    </row>
    <row r="119" spans="3:20" ht="12.75" customHeight="1" x14ac:dyDescent="0.2">
      <c r="C119" s="634"/>
      <c r="T119" s="634"/>
    </row>
    <row r="120" spans="3:20" ht="12.75" customHeight="1" x14ac:dyDescent="0.2">
      <c r="C120" s="634"/>
      <c r="T120" s="634"/>
    </row>
    <row r="121" spans="3:20" ht="12.75" customHeight="1" x14ac:dyDescent="0.2">
      <c r="C121" s="634"/>
      <c r="T121" s="634"/>
    </row>
    <row r="122" spans="3:20" ht="12.75" customHeight="1" x14ac:dyDescent="0.2">
      <c r="C122" s="634"/>
      <c r="T122" s="634"/>
    </row>
    <row r="123" spans="3:20" ht="12.75" customHeight="1" x14ac:dyDescent="0.2">
      <c r="C123" s="634"/>
      <c r="T123" s="634"/>
    </row>
    <row r="124" spans="3:20" ht="12.75" customHeight="1" x14ac:dyDescent="0.2">
      <c r="C124" s="634"/>
      <c r="T124" s="634"/>
    </row>
    <row r="125" spans="3:20" ht="12.75" customHeight="1" x14ac:dyDescent="0.2">
      <c r="C125" s="634"/>
      <c r="T125" s="634"/>
    </row>
    <row r="126" spans="3:20" ht="12.75" customHeight="1" x14ac:dyDescent="0.2">
      <c r="C126" s="634"/>
      <c r="T126" s="634"/>
    </row>
    <row r="127" spans="3:20" x14ac:dyDescent="0.2">
      <c r="C127" s="634"/>
      <c r="T127" s="634"/>
    </row>
    <row r="128" spans="3:20" x14ac:dyDescent="0.2">
      <c r="C128" s="634"/>
      <c r="T128" s="634"/>
    </row>
    <row r="129" spans="3:20" x14ac:dyDescent="0.2">
      <c r="C129" s="634"/>
      <c r="T129" s="634"/>
    </row>
    <row r="130" spans="3:20" x14ac:dyDescent="0.2">
      <c r="C130" s="634"/>
      <c r="T130" s="634"/>
    </row>
    <row r="131" spans="3:20" x14ac:dyDescent="0.2">
      <c r="C131" s="634"/>
      <c r="T131" s="634"/>
    </row>
    <row r="132" spans="3:20" x14ac:dyDescent="0.2">
      <c r="C132" s="634"/>
      <c r="T132" s="634"/>
    </row>
    <row r="133" spans="3:20" x14ac:dyDescent="0.2">
      <c r="C133" s="634"/>
      <c r="T133" s="634"/>
    </row>
    <row r="134" spans="3:20" x14ac:dyDescent="0.2">
      <c r="C134" s="634"/>
      <c r="T134" s="634"/>
    </row>
    <row r="135" spans="3:20" x14ac:dyDescent="0.2">
      <c r="C135" s="634"/>
      <c r="T135" s="634"/>
    </row>
    <row r="136" spans="3:20" x14ac:dyDescent="0.2">
      <c r="C136" s="634"/>
      <c r="T136" s="634"/>
    </row>
  </sheetData>
  <mergeCells count="4">
    <mergeCell ref="D11:H11"/>
    <mergeCell ref="J11:K11"/>
    <mergeCell ref="M11:N11"/>
    <mergeCell ref="P11:S1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4BF6-F3B4-4139-9B50-ABCC1DEA7CEF}">
  <dimension ref="E7:K14"/>
  <sheetViews>
    <sheetView zoomScale="93" zoomScaleNormal="220" workbookViewId="0">
      <selection activeCell="J22" sqref="J22"/>
    </sheetView>
  </sheetViews>
  <sheetFormatPr defaultRowHeight="12.75" x14ac:dyDescent="0.2"/>
  <cols>
    <col min="5" max="5" width="11.7109375" bestFit="1" customWidth="1"/>
    <col min="6" max="6" width="10.140625" bestFit="1" customWidth="1"/>
    <col min="7" max="7" width="9.7109375" customWidth="1"/>
    <col min="9" max="9" width="13.5703125" bestFit="1" customWidth="1"/>
    <col min="10" max="10" width="10.140625" bestFit="1" customWidth="1"/>
  </cols>
  <sheetData>
    <row r="7" spans="5:11" x14ac:dyDescent="0.2">
      <c r="E7" s="777" t="s">
        <v>615</v>
      </c>
    </row>
    <row r="8" spans="5:11" x14ac:dyDescent="0.2">
      <c r="E8" s="818" t="s">
        <v>624</v>
      </c>
      <c r="F8" s="819"/>
      <c r="G8" s="820"/>
      <c r="I8" s="818" t="s">
        <v>623</v>
      </c>
      <c r="J8" s="819"/>
      <c r="K8" s="820"/>
    </row>
    <row r="9" spans="5:11" x14ac:dyDescent="0.2">
      <c r="E9" s="791"/>
      <c r="G9" s="792"/>
      <c r="I9" s="791"/>
      <c r="K9" s="792" t="s">
        <v>622</v>
      </c>
    </row>
    <row r="10" spans="5:11" x14ac:dyDescent="0.2">
      <c r="E10" s="791" t="s">
        <v>616</v>
      </c>
      <c r="F10" s="800">
        <v>4800</v>
      </c>
      <c r="G10" s="793"/>
      <c r="I10" s="791" t="s">
        <v>616</v>
      </c>
      <c r="J10" s="800">
        <v>4800</v>
      </c>
      <c r="K10" s="792"/>
    </row>
    <row r="11" spans="5:11" x14ac:dyDescent="0.2">
      <c r="E11" s="791" t="s">
        <v>617</v>
      </c>
      <c r="F11" s="801">
        <v>0.15</v>
      </c>
      <c r="G11" s="797"/>
      <c r="I11" s="791" t="s">
        <v>620</v>
      </c>
      <c r="J11" s="800">
        <v>720</v>
      </c>
      <c r="K11" s="793">
        <f>J11/12</f>
        <v>60</v>
      </c>
    </row>
    <row r="12" spans="5:11" x14ac:dyDescent="0.2">
      <c r="E12" s="791" t="s">
        <v>618</v>
      </c>
      <c r="F12" s="774">
        <f>F10*F11</f>
        <v>720</v>
      </c>
      <c r="G12" s="793"/>
      <c r="I12" s="794" t="s">
        <v>621</v>
      </c>
      <c r="J12" s="795">
        <f>J11/J10</f>
        <v>0.15</v>
      </c>
      <c r="K12" s="796"/>
    </row>
    <row r="13" spans="5:11" x14ac:dyDescent="0.2">
      <c r="E13" s="791"/>
      <c r="G13" s="792"/>
    </row>
    <row r="14" spans="5:11" x14ac:dyDescent="0.2">
      <c r="E14" s="794" t="s">
        <v>619</v>
      </c>
      <c r="F14" s="798">
        <f>F12/12</f>
        <v>60</v>
      </c>
      <c r="G14" s="799"/>
    </row>
  </sheetData>
  <mergeCells count="2">
    <mergeCell ref="E8:G8"/>
    <mergeCell ref="I8:K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65E87-495C-49DE-9BF4-CE6B100F31FE}">
  <dimension ref="B3:R14"/>
  <sheetViews>
    <sheetView workbookViewId="0">
      <selection activeCell="A55" sqref="A55"/>
    </sheetView>
  </sheetViews>
  <sheetFormatPr defaultRowHeight="12.75" x14ac:dyDescent="0.2"/>
  <cols>
    <col min="2" max="2" width="14" bestFit="1" customWidth="1"/>
    <col min="3" max="12" width="11.7109375" bestFit="1" customWidth="1"/>
    <col min="13" max="13" width="13.42578125" bestFit="1" customWidth="1"/>
    <col min="14" max="14" width="11.7109375" bestFit="1" customWidth="1"/>
    <col min="16" max="16" width="11.7109375" bestFit="1" customWidth="1"/>
    <col min="17" max="17" width="10.5703125" customWidth="1"/>
    <col min="18" max="18" width="13.42578125" customWidth="1"/>
  </cols>
  <sheetData>
    <row r="3" spans="2:18" x14ac:dyDescent="0.2">
      <c r="D3" s="821" t="s">
        <v>632</v>
      </c>
      <c r="E3" s="821"/>
      <c r="F3" s="821"/>
      <c r="G3" s="821"/>
      <c r="H3" s="821"/>
      <c r="I3" s="821"/>
      <c r="J3" s="821"/>
      <c r="K3" s="821"/>
      <c r="L3" s="821"/>
      <c r="M3" s="821"/>
      <c r="N3" s="821"/>
    </row>
    <row r="4" spans="2:18" x14ac:dyDescent="0.2">
      <c r="B4" s="802" t="s">
        <v>625</v>
      </c>
      <c r="C4" s="802" t="s">
        <v>626</v>
      </c>
      <c r="D4" s="803">
        <v>1</v>
      </c>
      <c r="E4" s="803">
        <v>2</v>
      </c>
      <c r="F4" s="803">
        <v>3</v>
      </c>
      <c r="G4" s="803">
        <v>4</v>
      </c>
      <c r="H4" s="803">
        <v>5</v>
      </c>
      <c r="I4" s="803">
        <v>6</v>
      </c>
      <c r="J4" s="803">
        <v>7</v>
      </c>
      <c r="K4" s="803">
        <v>8</v>
      </c>
      <c r="L4" s="803">
        <v>9</v>
      </c>
      <c r="M4" s="803">
        <v>10</v>
      </c>
      <c r="N4" s="803">
        <v>11</v>
      </c>
    </row>
    <row r="5" spans="2:18" x14ac:dyDescent="0.2">
      <c r="B5" s="774">
        <v>-6234000</v>
      </c>
      <c r="C5">
        <v>451257</v>
      </c>
      <c r="D5">
        <v>467618</v>
      </c>
      <c r="E5" s="774">
        <f>$D$5*(1+$Q$5)</f>
        <v>472294.18</v>
      </c>
      <c r="F5" s="774">
        <f t="shared" ref="F5:N5" si="0">$D$5*(1+$Q$5)</f>
        <v>472294.18</v>
      </c>
      <c r="G5" s="774">
        <f t="shared" si="0"/>
        <v>472294.18</v>
      </c>
      <c r="H5" s="774">
        <f t="shared" si="0"/>
        <v>472294.18</v>
      </c>
      <c r="I5" s="774">
        <f t="shared" si="0"/>
        <v>472294.18</v>
      </c>
      <c r="J5" s="774">
        <f t="shared" si="0"/>
        <v>472294.18</v>
      </c>
      <c r="K5" s="774">
        <f t="shared" si="0"/>
        <v>472294.18</v>
      </c>
      <c r="L5" s="774">
        <f t="shared" si="0"/>
        <v>472294.18</v>
      </c>
      <c r="M5" s="774">
        <f t="shared" si="0"/>
        <v>472294.18</v>
      </c>
      <c r="N5" s="774">
        <f t="shared" si="0"/>
        <v>472294.18</v>
      </c>
      <c r="P5" s="805" t="s">
        <v>185</v>
      </c>
      <c r="Q5" s="806">
        <v>0.01</v>
      </c>
    </row>
    <row r="6" spans="2:18" x14ac:dyDescent="0.2">
      <c r="M6" s="774">
        <f>N5/Q6</f>
        <v>6094118.4516129028</v>
      </c>
      <c r="P6" s="807" t="s">
        <v>627</v>
      </c>
      <c r="Q6" s="808">
        <v>7.7499999999999999E-2</v>
      </c>
    </row>
    <row r="7" spans="2:18" x14ac:dyDescent="0.2">
      <c r="M7" s="774"/>
      <c r="P7" s="766"/>
      <c r="Q7" s="770"/>
    </row>
    <row r="8" spans="2:18" x14ac:dyDescent="0.2">
      <c r="B8" s="774">
        <f>B5+B6</f>
        <v>-6234000</v>
      </c>
      <c r="C8" s="774">
        <f t="shared" ref="C8:M8" si="1">C5+C6</f>
        <v>451257</v>
      </c>
      <c r="D8" s="774">
        <f t="shared" si="1"/>
        <v>467618</v>
      </c>
      <c r="E8" s="774">
        <f t="shared" si="1"/>
        <v>472294.18</v>
      </c>
      <c r="F8" s="774">
        <f t="shared" si="1"/>
        <v>472294.18</v>
      </c>
      <c r="G8" s="774">
        <f t="shared" si="1"/>
        <v>472294.18</v>
      </c>
      <c r="H8" s="774">
        <f t="shared" si="1"/>
        <v>472294.18</v>
      </c>
      <c r="I8" s="774">
        <f t="shared" si="1"/>
        <v>472294.18</v>
      </c>
      <c r="J8" s="774">
        <f t="shared" si="1"/>
        <v>472294.18</v>
      </c>
      <c r="K8" s="774">
        <f t="shared" si="1"/>
        <v>472294.18</v>
      </c>
      <c r="L8" s="774">
        <f t="shared" si="1"/>
        <v>472294.18</v>
      </c>
      <c r="M8" s="774">
        <f t="shared" si="1"/>
        <v>6566412.6316129025</v>
      </c>
      <c r="N8" s="774"/>
    </row>
    <row r="10" spans="2:18" x14ac:dyDescent="0.2">
      <c r="P10" s="766" t="s">
        <v>628</v>
      </c>
      <c r="Q10" s="786">
        <f>R10/-$B$5</f>
        <v>7.238642925890279E-2</v>
      </c>
      <c r="R10" s="768">
        <v>451257</v>
      </c>
    </row>
    <row r="11" spans="2:18" x14ac:dyDescent="0.2">
      <c r="P11" s="766" t="s">
        <v>629</v>
      </c>
      <c r="Q11" s="786">
        <f>R11/-$B$5</f>
        <v>7.8551170997754258E-2</v>
      </c>
      <c r="R11" s="768">
        <v>489688</v>
      </c>
    </row>
    <row r="12" spans="2:18" x14ac:dyDescent="0.2">
      <c r="P12" s="766" t="s">
        <v>630</v>
      </c>
      <c r="Q12" s="786">
        <f>R12/-$B$5</f>
        <v>7.5010907924286177E-2</v>
      </c>
      <c r="R12" s="768">
        <v>467618</v>
      </c>
    </row>
    <row r="14" spans="2:18" x14ac:dyDescent="0.2">
      <c r="P14" s="777" t="s">
        <v>631</v>
      </c>
      <c r="Q14" s="804">
        <f>IRR(B8:N8)</f>
        <v>7.3852579283758768E-2</v>
      </c>
    </row>
  </sheetData>
  <mergeCells count="1">
    <mergeCell ref="D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E048-4E4B-43A5-B86E-C9ECB5A2F41E}">
  <dimension ref="A2:R48"/>
  <sheetViews>
    <sheetView topLeftCell="D1" workbookViewId="0">
      <selection activeCell="H42" sqref="H42"/>
    </sheetView>
  </sheetViews>
  <sheetFormatPr defaultRowHeight="12.75" x14ac:dyDescent="0.2"/>
  <cols>
    <col min="1" max="1" width="5.5703125" customWidth="1"/>
    <col min="3" max="7" width="14.7109375" customWidth="1"/>
    <col min="8" max="8" width="9.7109375" bestFit="1" customWidth="1"/>
    <col min="9" max="9" width="11" customWidth="1"/>
    <col min="14" max="14" width="11.85546875" bestFit="1" customWidth="1"/>
    <col min="15" max="15" width="9.7109375" bestFit="1" customWidth="1"/>
    <col min="16" max="16" width="11.7109375" bestFit="1" customWidth="1"/>
    <col min="17" max="17" width="9.7109375" bestFit="1" customWidth="1"/>
  </cols>
  <sheetData>
    <row r="2" spans="1:18" x14ac:dyDescent="0.2">
      <c r="A2" s="766" t="s">
        <v>568</v>
      </c>
    </row>
    <row r="4" spans="1:18" ht="43.5" customHeight="1" x14ac:dyDescent="0.2">
      <c r="A4" s="777" t="s">
        <v>569</v>
      </c>
      <c r="B4" s="777"/>
      <c r="C4" s="778" t="s">
        <v>581</v>
      </c>
      <c r="D4" s="778" t="s">
        <v>582</v>
      </c>
      <c r="E4" s="778" t="s">
        <v>583</v>
      </c>
      <c r="F4" s="778" t="s">
        <v>584</v>
      </c>
      <c r="G4" s="778" t="s">
        <v>585</v>
      </c>
      <c r="I4" s="778" t="s">
        <v>590</v>
      </c>
    </row>
    <row r="5" spans="1:18" x14ac:dyDescent="0.2">
      <c r="A5" s="766" t="s">
        <v>570</v>
      </c>
      <c r="C5">
        <v>24</v>
      </c>
      <c r="D5">
        <v>124</v>
      </c>
      <c r="E5">
        <v>37</v>
      </c>
      <c r="F5">
        <v>36</v>
      </c>
      <c r="G5">
        <v>198</v>
      </c>
    </row>
    <row r="6" spans="1:18" x14ac:dyDescent="0.2">
      <c r="A6" s="766" t="s">
        <v>571</v>
      </c>
      <c r="C6">
        <v>1979</v>
      </c>
      <c r="D6">
        <v>1975</v>
      </c>
      <c r="E6">
        <v>1970</v>
      </c>
      <c r="F6">
        <v>1972</v>
      </c>
      <c r="G6">
        <v>1988</v>
      </c>
    </row>
    <row r="7" spans="1:18" x14ac:dyDescent="0.2">
      <c r="A7" s="766" t="s">
        <v>572</v>
      </c>
      <c r="C7" s="779">
        <v>0.88300000000000001</v>
      </c>
      <c r="D7" s="779">
        <v>0.98399999999999999</v>
      </c>
      <c r="E7" s="779">
        <v>1</v>
      </c>
      <c r="F7" s="779">
        <v>0.98399999999999999</v>
      </c>
      <c r="G7" s="779">
        <v>0.995</v>
      </c>
    </row>
    <row r="8" spans="1:18" x14ac:dyDescent="0.2">
      <c r="A8" s="766" t="s">
        <v>573</v>
      </c>
      <c r="C8" s="768">
        <v>895</v>
      </c>
      <c r="D8" s="768">
        <v>1145</v>
      </c>
      <c r="E8" s="768">
        <v>1286</v>
      </c>
      <c r="F8" s="768">
        <v>1338</v>
      </c>
      <c r="G8" s="768">
        <v>1397</v>
      </c>
      <c r="O8" s="766" t="s">
        <v>597</v>
      </c>
      <c r="P8" s="766" t="s">
        <v>598</v>
      </c>
      <c r="Q8" t="s">
        <v>304</v>
      </c>
    </row>
    <row r="9" spans="1:18" x14ac:dyDescent="0.2">
      <c r="A9" s="766" t="s">
        <v>574</v>
      </c>
      <c r="C9">
        <v>750</v>
      </c>
      <c r="D9">
        <v>602</v>
      </c>
      <c r="E9">
        <v>943</v>
      </c>
      <c r="F9">
        <v>1032</v>
      </c>
      <c r="G9">
        <v>1031</v>
      </c>
      <c r="N9" s="766" t="s">
        <v>551</v>
      </c>
      <c r="O9" s="768">
        <v>885</v>
      </c>
      <c r="P9" s="774">
        <v>75</v>
      </c>
      <c r="Q9" s="768">
        <f>P9+O9</f>
        <v>960</v>
      </c>
      <c r="R9">
        <f>(Q9/O9)-1</f>
        <v>8.4745762711864403E-2</v>
      </c>
    </row>
    <row r="10" spans="1:18" x14ac:dyDescent="0.2">
      <c r="A10" s="766" t="s">
        <v>575</v>
      </c>
      <c r="C10" s="774">
        <v>1.19</v>
      </c>
      <c r="D10" s="774">
        <v>1.21</v>
      </c>
      <c r="E10" s="774">
        <v>1.25</v>
      </c>
      <c r="F10" s="774">
        <v>1.31</v>
      </c>
      <c r="G10" s="774">
        <v>1.35</v>
      </c>
      <c r="N10">
        <v>1</v>
      </c>
      <c r="O10" s="768">
        <v>933</v>
      </c>
      <c r="P10" s="774">
        <v>100</v>
      </c>
      <c r="Q10" s="768">
        <f>P10+O10</f>
        <v>1033</v>
      </c>
      <c r="R10">
        <f>(Q10/O10)-1</f>
        <v>0.10718113612004276</v>
      </c>
    </row>
    <row r="11" spans="1:18" x14ac:dyDescent="0.2">
      <c r="N11" s="783" t="s">
        <v>595</v>
      </c>
      <c r="O11" s="768">
        <v>1096</v>
      </c>
      <c r="P11" s="774">
        <v>125</v>
      </c>
      <c r="Q11" s="768">
        <f>P11+O11</f>
        <v>1221</v>
      </c>
      <c r="R11">
        <f>(Q11/O11)-1</f>
        <v>0.11405109489051091</v>
      </c>
    </row>
    <row r="12" spans="1:18" x14ac:dyDescent="0.2">
      <c r="A12" s="766" t="s">
        <v>551</v>
      </c>
      <c r="J12" s="766" t="s">
        <v>591</v>
      </c>
      <c r="K12" s="766" t="s">
        <v>594</v>
      </c>
      <c r="N12" s="766" t="s">
        <v>596</v>
      </c>
      <c r="O12" s="768">
        <v>1128</v>
      </c>
      <c r="P12" s="774">
        <v>200</v>
      </c>
      <c r="Q12" s="768">
        <f>P12+O12</f>
        <v>1328</v>
      </c>
      <c r="R12">
        <f>(Q12/O12)-1</f>
        <v>0.17730496453900702</v>
      </c>
    </row>
    <row r="13" spans="1:18" x14ac:dyDescent="0.2">
      <c r="B13" s="766" t="s">
        <v>576</v>
      </c>
      <c r="I13" s="784">
        <v>849</v>
      </c>
      <c r="R13">
        <f>AVERAGE(R9:R12)</f>
        <v>0.12082073956535627</v>
      </c>
    </row>
    <row r="14" spans="1:18" x14ac:dyDescent="0.2">
      <c r="B14" s="766" t="s">
        <v>577</v>
      </c>
      <c r="I14">
        <v>288</v>
      </c>
    </row>
    <row r="15" spans="1:18" x14ac:dyDescent="0.2">
      <c r="B15" s="766" t="s">
        <v>578</v>
      </c>
    </row>
    <row r="16" spans="1:18" x14ac:dyDescent="0.2">
      <c r="A16" s="766" t="s">
        <v>579</v>
      </c>
    </row>
    <row r="17" spans="1:16" x14ac:dyDescent="0.2">
      <c r="B17" s="781" t="s">
        <v>576</v>
      </c>
      <c r="C17" s="768">
        <v>895</v>
      </c>
      <c r="D17" s="768">
        <v>825</v>
      </c>
      <c r="E17" s="768">
        <v>838</v>
      </c>
      <c r="F17" s="768">
        <v>949</v>
      </c>
      <c r="I17" s="768">
        <v>951</v>
      </c>
      <c r="K17" s="768">
        <f>AVERAGE(C17:G17)</f>
        <v>876.75</v>
      </c>
    </row>
    <row r="18" spans="1:16" x14ac:dyDescent="0.2">
      <c r="B18" s="766" t="s">
        <v>577</v>
      </c>
      <c r="C18">
        <v>750</v>
      </c>
      <c r="D18">
        <v>820</v>
      </c>
      <c r="E18">
        <v>600</v>
      </c>
      <c r="F18">
        <v>800</v>
      </c>
      <c r="I18">
        <v>576</v>
      </c>
    </row>
    <row r="19" spans="1:16" x14ac:dyDescent="0.2">
      <c r="B19" s="780" t="s">
        <v>578</v>
      </c>
      <c r="C19" s="774">
        <v>1.19</v>
      </c>
      <c r="D19" s="774">
        <v>1.01</v>
      </c>
      <c r="E19" s="774">
        <v>1.4</v>
      </c>
      <c r="F19" s="774">
        <v>1.19</v>
      </c>
    </row>
    <row r="20" spans="1:16" x14ac:dyDescent="0.2">
      <c r="A20" s="766" t="s">
        <v>580</v>
      </c>
    </row>
    <row r="21" spans="1:16" x14ac:dyDescent="0.2">
      <c r="B21" s="766" t="s">
        <v>576</v>
      </c>
      <c r="D21" s="768">
        <v>1254</v>
      </c>
      <c r="E21" s="768">
        <v>1356</v>
      </c>
      <c r="F21" s="768">
        <v>999</v>
      </c>
      <c r="G21" s="768">
        <v>1333</v>
      </c>
      <c r="I21" s="768">
        <v>1096</v>
      </c>
      <c r="K21" s="768">
        <f>AVERAGE(C21:G21)</f>
        <v>1235.5</v>
      </c>
    </row>
    <row r="22" spans="1:16" x14ac:dyDescent="0.2">
      <c r="B22" s="766" t="s">
        <v>577</v>
      </c>
      <c r="D22">
        <v>985</v>
      </c>
      <c r="E22">
        <v>1100</v>
      </c>
      <c r="F22">
        <v>800</v>
      </c>
      <c r="G22">
        <v>966</v>
      </c>
      <c r="I22">
        <v>864</v>
      </c>
    </row>
    <row r="23" spans="1:16" x14ac:dyDescent="0.2">
      <c r="B23" s="766" t="s">
        <v>578</v>
      </c>
      <c r="D23" s="774">
        <v>1.27</v>
      </c>
      <c r="E23" s="774">
        <v>1.23</v>
      </c>
      <c r="F23" s="774">
        <v>1.72</v>
      </c>
      <c r="G23" s="774">
        <v>1.38</v>
      </c>
    </row>
    <row r="25" spans="1:16" x14ac:dyDescent="0.2">
      <c r="A25" s="766" t="s">
        <v>588</v>
      </c>
      <c r="N25" s="766" t="s">
        <v>599</v>
      </c>
    </row>
    <row r="26" spans="1:16" x14ac:dyDescent="0.2">
      <c r="B26" s="766" t="s">
        <v>587</v>
      </c>
      <c r="D26" s="774">
        <v>1090</v>
      </c>
      <c r="G26">
        <v>1065</v>
      </c>
      <c r="I26">
        <f>AVERAGE(C26:G26)</f>
        <v>1077.5</v>
      </c>
      <c r="N26" s="766" t="s">
        <v>600</v>
      </c>
      <c r="P26" s="766" t="s">
        <v>601</v>
      </c>
    </row>
    <row r="27" spans="1:16" x14ac:dyDescent="0.2">
      <c r="B27" s="766" t="s">
        <v>592</v>
      </c>
      <c r="C27" s="768"/>
      <c r="D27" s="768">
        <f>D26-D17</f>
        <v>265</v>
      </c>
      <c r="E27" s="768"/>
      <c r="F27" s="768"/>
      <c r="G27" s="768"/>
      <c r="I27" s="782">
        <f>AVERAGE(C27:G27)</f>
        <v>265</v>
      </c>
      <c r="M27" s="766" t="s">
        <v>602</v>
      </c>
      <c r="N27" s="768">
        <v>250000</v>
      </c>
      <c r="O27" s="768"/>
      <c r="P27" s="768">
        <v>100000</v>
      </c>
    </row>
    <row r="28" spans="1:16" x14ac:dyDescent="0.2">
      <c r="M28" s="766" t="s">
        <v>603</v>
      </c>
      <c r="N28" s="770">
        <v>0.95</v>
      </c>
      <c r="O28" s="770"/>
      <c r="P28" s="770">
        <v>0.95</v>
      </c>
    </row>
    <row r="29" spans="1:16" x14ac:dyDescent="0.2">
      <c r="A29" s="766" t="s">
        <v>586</v>
      </c>
      <c r="M29" s="766" t="s">
        <v>608</v>
      </c>
      <c r="N29" s="768">
        <f>(1-N28)*N27</f>
        <v>12500.000000000011</v>
      </c>
      <c r="P29" s="768">
        <f>(1-P28)*P27</f>
        <v>5000.0000000000045</v>
      </c>
    </row>
    <row r="30" spans="1:16" x14ac:dyDescent="0.2">
      <c r="B30" s="766" t="s">
        <v>587</v>
      </c>
      <c r="D30" s="774">
        <v>1245</v>
      </c>
      <c r="I30">
        <f>AVERAGE(C30:G30)</f>
        <v>1245</v>
      </c>
      <c r="M30" s="766" t="s">
        <v>70</v>
      </c>
      <c r="N30" s="768">
        <f>N28*N27</f>
        <v>237500</v>
      </c>
      <c r="O30" s="768"/>
      <c r="P30" s="768">
        <f>P28*P27</f>
        <v>95000</v>
      </c>
    </row>
    <row r="31" spans="1:16" x14ac:dyDescent="0.2">
      <c r="B31" s="766" t="s">
        <v>592</v>
      </c>
      <c r="D31" s="768"/>
      <c r="M31" s="766" t="s">
        <v>1</v>
      </c>
      <c r="N31" s="770">
        <v>0.08</v>
      </c>
      <c r="O31" s="770"/>
      <c r="P31" s="770">
        <v>0.08</v>
      </c>
    </row>
    <row r="32" spans="1:16" x14ac:dyDescent="0.2">
      <c r="M32" s="766" t="s">
        <v>604</v>
      </c>
      <c r="N32" s="768">
        <f>PMT(N31/12,360,N30)</f>
        <v>-1742.6908629635186</v>
      </c>
      <c r="O32" s="768"/>
      <c r="P32" s="768">
        <f>PMT(P31/12,360,P30)</f>
        <v>-697.07634518540738</v>
      </c>
    </row>
    <row r="33" spans="1:16" x14ac:dyDescent="0.2">
      <c r="A33" s="766" t="s">
        <v>589</v>
      </c>
      <c r="M33" s="766" t="s">
        <v>605</v>
      </c>
      <c r="N33" s="770">
        <v>0.3</v>
      </c>
      <c r="O33" s="770"/>
      <c r="P33" s="770">
        <v>0.3</v>
      </c>
    </row>
    <row r="34" spans="1:16" x14ac:dyDescent="0.2">
      <c r="B34" s="766" t="s">
        <v>587</v>
      </c>
      <c r="D34">
        <v>1455</v>
      </c>
      <c r="E34">
        <v>1300</v>
      </c>
      <c r="F34">
        <v>1375</v>
      </c>
      <c r="G34">
        <v>1540</v>
      </c>
      <c r="I34">
        <f>AVERAGE(C34:G34)</f>
        <v>1417.5</v>
      </c>
      <c r="K34" s="768">
        <f>AVERAGE(C34:G34)</f>
        <v>1417.5</v>
      </c>
      <c r="M34" s="766" t="s">
        <v>606</v>
      </c>
      <c r="N34" s="768">
        <f>-N32/N33</f>
        <v>5808.9695432117287</v>
      </c>
      <c r="O34" s="768"/>
      <c r="P34" s="768">
        <f>-P32/P33</f>
        <v>2323.5878172846915</v>
      </c>
    </row>
    <row r="35" spans="1:16" x14ac:dyDescent="0.2">
      <c r="B35" s="766" t="s">
        <v>592</v>
      </c>
      <c r="D35" s="768">
        <f>D34-D21</f>
        <v>201</v>
      </c>
      <c r="E35" s="768">
        <f>E34-E21</f>
        <v>-56</v>
      </c>
      <c r="F35" s="768">
        <f>F34-F21</f>
        <v>376</v>
      </c>
      <c r="G35" s="768">
        <f>G34-G21</f>
        <v>207</v>
      </c>
      <c r="I35" s="782">
        <f>AVERAGE(C35:G35)</f>
        <v>182</v>
      </c>
      <c r="M35" s="766" t="s">
        <v>607</v>
      </c>
      <c r="N35" s="768">
        <f>N34*12</f>
        <v>69707.634518540741</v>
      </c>
      <c r="O35" s="768"/>
      <c r="P35" s="768">
        <f>P34*12</f>
        <v>27883.053807416298</v>
      </c>
    </row>
    <row r="36" spans="1:16" x14ac:dyDescent="0.2">
      <c r="G36" s="766" t="s">
        <v>593</v>
      </c>
    </row>
    <row r="42" spans="1:16" x14ac:dyDescent="0.2">
      <c r="D42">
        <v>1455</v>
      </c>
      <c r="E42">
        <v>1300</v>
      </c>
      <c r="F42">
        <v>1375</v>
      </c>
      <c r="G42">
        <v>1540</v>
      </c>
      <c r="H42">
        <f>AVERAGE(D42:G42)</f>
        <v>1417.5</v>
      </c>
    </row>
    <row r="43" spans="1:16" x14ac:dyDescent="0.2">
      <c r="D43">
        <v>985</v>
      </c>
      <c r="E43">
        <v>1100</v>
      </c>
      <c r="F43">
        <v>800</v>
      </c>
      <c r="G43">
        <v>966</v>
      </c>
    </row>
    <row r="45" spans="1:16" x14ac:dyDescent="0.2">
      <c r="D45">
        <f t="shared" ref="D45:F45" si="0">D42/D43</f>
        <v>1.4771573604060915</v>
      </c>
      <c r="E45">
        <f t="shared" si="0"/>
        <v>1.1818181818181819</v>
      </c>
      <c r="F45">
        <f t="shared" si="0"/>
        <v>1.71875</v>
      </c>
      <c r="G45">
        <f>G42/G43</f>
        <v>1.5942028985507246</v>
      </c>
      <c r="H45" s="774"/>
    </row>
    <row r="46" spans="1:16" x14ac:dyDescent="0.2">
      <c r="H46">
        <f>AVERAGE(D45:G45)</f>
        <v>1.4929821101937495</v>
      </c>
    </row>
    <row r="47" spans="1:16" x14ac:dyDescent="0.2">
      <c r="F47">
        <v>864</v>
      </c>
    </row>
    <row r="48" spans="1:16" x14ac:dyDescent="0.2">
      <c r="F48" s="774">
        <f>F47*AVERAGE(D45:G45)</f>
        <v>1289.9365432073996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Investment Assumption Summary</vt:lpstr>
      <vt:lpstr>Operating Statement</vt:lpstr>
      <vt:lpstr>Rehab</vt:lpstr>
      <vt:lpstr>Inputs=&gt;</vt:lpstr>
      <vt:lpstr>T12</vt:lpstr>
      <vt:lpstr>Rent Roll</vt:lpstr>
      <vt:lpstr>Closing Cost Detail</vt:lpstr>
      <vt:lpstr>Other Capitalized Costs</vt:lpstr>
      <vt:lpstr>Debt Schedule</vt:lpstr>
      <vt:lpstr>APARTMENT CapEx</vt:lpstr>
      <vt:lpstr>Sheet1</vt:lpstr>
      <vt:lpstr>IRR Example in Class</vt:lpstr>
      <vt:lpstr>Comparables</vt:lpstr>
      <vt:lpstr>Rehab!Print_Area</vt:lpstr>
      <vt:lpstr>'T12'!Print_Area</vt:lpstr>
    </vt:vector>
  </TitlesOfParts>
  <Company>Pearl Properties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Pearlstein</dc:creator>
  <cp:lastModifiedBy>Ian Gillespie</cp:lastModifiedBy>
  <cp:lastPrinted>2021-04-26T18:35:47Z</cp:lastPrinted>
  <dcterms:created xsi:type="dcterms:W3CDTF">2002-05-02T17:42:52Z</dcterms:created>
  <dcterms:modified xsi:type="dcterms:W3CDTF">2024-01-10T19:30:16Z</dcterms:modified>
</cp:coreProperties>
</file>